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14af68023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f6234b410335498d"/>
    <x:sheet xmlns:r="http://schemas.openxmlformats.org/officeDocument/2006/relationships" name="Calendario" sheetId="2" r:id="R2b2d885f32194320"/>
    <x:sheet xmlns:r="http://schemas.openxmlformats.org/officeDocument/2006/relationships" name="Solicitudes" sheetId="3" r:id="Rd555e78a43c34422"/>
    <x:sheet xmlns:r="http://schemas.openxmlformats.org/officeDocument/2006/relationships" name="Configuracion" sheetId="4" r:id="R9573dc062094489e"/>
    <x:sheet xmlns:r="http://schemas.openxmlformats.org/officeDocument/2006/relationships" name="Guia" sheetId="5" r:id="R4014bea1a1cc4c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/mm/yyyy"/>
  </x:numFmts>
  <x:fonts count="4">
    <x:font>
      <x:sz val="11"/>
      <x:name val="Carlito"/>
    </x:font>
    <x:font>
      <x:sz val="11"/>
      <x:color rgb="FF19323D"/>
      <x:name val="Arial"/>
    </x:font>
    <x:font>
      <x:b/>
      <x:sz val="16"/>
      <x:color rgb="FF08754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EF2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08754B"/>
      </x:font>
      <x:fill>
        <x:patternFill patternType="solid">
          <x:bgColor rgb="FFDDEFE5"/>
        </x:patternFill>
      </x:fill>
    </x:dxf>
    <x:dxf>
      <x:fill>
        <x:patternFill patternType="solid">
          <x:bgColor rgb="FFFFF2CC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47b47bc9c408c" /><Relationship Type="http://schemas.openxmlformats.org/officeDocument/2006/relationships/theme" Target="/xl/theme/theme1.xml" Id="R8dacbdbc95664482" /><Relationship Type="http://schemas.openxmlformats.org/officeDocument/2006/relationships/sharedStrings" Target="/xl/sharedStrings.xml" Id="Rc0bbaeae5c9742ae" /><Relationship Type="http://schemas.openxmlformats.org/officeDocument/2006/relationships/worksheet" Target="/xl/worksheets/sheet1.xml" Id="Rf6234b410335498d" /><Relationship Type="http://schemas.openxmlformats.org/officeDocument/2006/relationships/worksheet" Target="/xl/worksheets/sheet2.xml" Id="R2b2d885f32194320" /><Relationship Type="http://schemas.openxmlformats.org/officeDocument/2006/relationships/worksheet" Target="/xl/worksheets/sheet3.xml" Id="Rd555e78a43c34422" /><Relationship Type="http://schemas.openxmlformats.org/officeDocument/2006/relationships/worksheet" Target="/xl/worksheets/sheet4.xml" Id="R9573dc062094489e" /><Relationship Type="http://schemas.openxmlformats.org/officeDocument/2006/relationships/worksheet" Target="/xl/worksheets/sheet5.xml" Id="R4014bea1a1cc4c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0" hidden="0" customWidth="1"/>
    <x:col min="8" max="8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Control de vacaciones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Año</x:v>
      </x:c>
      <x:c r="B4" s="2" t="n">
        <x:f>Configuracion!B4</x:f>
        <x:v>2027</x:v>
      </x:c>
      <x:c r="C4" s="2"/>
      <x:c r="D4" s="2" t="str">
        <x:v>Criterio</x:v>
      </x:c>
      <x:c r="E4" s="2" t="str">
        <x:f>Configuracion!B5</x:f>
        <x:v>Laborables</x:v>
      </x:c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Solicitudes a revisar</x:v>
      </x:c>
      <x:c r="B6" s="2"/>
      <x:c r="C6" s="2" t="n">
        <x:f>COUNTIFS(Solicitudes!A5:A204,"&lt;&gt;",Solicitudes!G5:G204,"&lt;&gt;OK")+COUNTIF(Solicitudes!I5:I204,"Solape: revisar")</x:f>
        <x:v>0</x:v>
      </x:c>
      <x:c r="D6" s="2" t="str">
        <x:v>Revisa los avisos antes de usar saldos.</x:v>
      </x:c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6" t="str">
        <x:v>ID empleado</x:v>
      </x:c>
      <x:c r="B8" s="6" t="str">
        <x:v>Nombre</x:v>
      </x:c>
      <x:c r="C8" s="6" t="str">
        <x:v>Cupo anual</x:v>
      </x:c>
      <x:c r="D8" s="6" t="str">
        <x:v>Aprobados</x:v>
      </x:c>
      <x:c r="E8" s="6" t="str">
        <x:v>Pendientes</x:v>
      </x:c>
      <x:c r="F8" s="6" t="str">
        <x:v>Saldo</x:v>
      </x:c>
      <x:c r="G8" s="6" t="str">
        <x:v>Avisos</x:v>
      </x:c>
      <x:c r="H8" s="6" t="str">
        <x:v>Revisión empleado</x:v>
      </x:c>
    </x:row>
    <x:row r="9" ht="25" customHeight="1">
      <x:c r="A9" s="7" t="str">
        <x:v>EMP-01</x:v>
      </x:c>
      <x:c r="B9" s="7" t="str">
        <x:v>Ana (ejemplo)</x:v>
      </x:c>
      <x:c r="C9" s="9" t="n">
        <x:v>22</x:v>
      </x:c>
      <x:c r="D9" s="10" t="n">
        <x:f>IF(H9&lt;&gt;"OK","",IF(OR(G9&gt;0,Configuracion!$B$7&lt;&gt;"OK"),"Revisar",SUMIFS(Solicitudes!$H$5:$H$204,Solicitudes!$A$5:$A$204,A9,Solicitudes!$D$5:$D$204,"Aprobada",Solicitudes!$G$5:$G$204,"OK")))</x:f>
        <x:v>4</x:v>
      </x:c>
      <x:c r="E9" s="10" t="n">
        <x:f>IF(H9&lt;&gt;"OK","",IF(OR(G9&gt;0,Configuracion!$B$7&lt;&gt;"OK"),"Revisar",SUMIFS(Solicitudes!$H$5:$H$204,Solicitudes!$A$5:$A$204,A9,Solicitudes!$D$5:$D$204,"Pendiente",Solicitudes!$G$5:$G$204,"OK")))</x:f>
        <x:v>2</x:v>
      </x:c>
      <x:c r="F9" s="10" t="n">
        <x:f>IF(H9&lt;&gt;"OK","",IF(ISNUMBER(D9),C9-D9,"Revisar"))</x:f>
        <x:v>18</x:v>
      </x:c>
      <x:c r="G9" s="10" t="n">
        <x:f>IF(A9="","",COUNTIFS(Solicitudes!$A$5:$A$204,A9,Solicitudes!$G$5:$G$204,"&lt;&gt;OK")+COUNTIFS(Solicitudes!$A$5:$A$204,A9,Solicitudes!$I$5:$I$204,"Solape: revisar"))</x:f>
        <x:v>0</x:v>
      </x:c>
      <x:c r="H9" s="8" t="str">
        <x:f>IF(COUNTA(A9:C9)=0,"",IF(OR(A9="",B9="",NOT(ISNUMBER(C9))),"Revisar datos",IF(OR(C9&lt;0,C9&lt;&gt;INT(C9),COUNTIF($A$9:$A$38,A9)&lt;&gt;1),"Revisar cupo o ID","OK")))</x:f>
        <x:v>OK</x:v>
      </x:c>
    </x:row>
    <x:row r="10" ht="25" customHeight="1">
      <x:c r="A10" s="7" t="str">
        <x:v>EMP-02</x:v>
      </x:c>
      <x:c r="B10" s="7" t="str">
        <x:v>Luis (ejemplo)</x:v>
      </x:c>
      <x:c r="C10" s="9" t="n">
        <x:v>22</x:v>
      </x:c>
      <x:c r="D10" s="10" t="n">
        <x:f>IF(H10&lt;&gt;"OK","",IF(OR(G10&gt;0,Configuracion!$B$7&lt;&gt;"OK"),"Revisar",SUMIFS(Solicitudes!$H$5:$H$204,Solicitudes!$A$5:$A$204,A10,Solicitudes!$D$5:$D$204,"Aprobada",Solicitudes!$G$5:$G$204,"OK")))</x:f>
        <x:v>0</x:v>
      </x:c>
      <x:c r="E10" s="10" t="n">
        <x:f>IF(H10&lt;&gt;"OK","",IF(OR(G10&gt;0,Configuracion!$B$7&lt;&gt;"OK"),"Revisar",SUMIFS(Solicitudes!$H$5:$H$204,Solicitudes!$A$5:$A$204,A10,Solicitudes!$D$5:$D$204,"Pendiente",Solicitudes!$G$5:$G$204,"OK")))</x:f>
        <x:v>0</x:v>
      </x:c>
      <x:c r="F10" s="10" t="n">
        <x:f>IF(H10&lt;&gt;"OK","",IF(ISNUMBER(D10),C10-D10,"Revisar"))</x:f>
        <x:v>22</x:v>
      </x:c>
      <x:c r="G10" s="10" t="n">
        <x:f>IF(A10="","",COUNTIFS(Solicitudes!$A$5:$A$204,A10,Solicitudes!$G$5:$G$204,"&lt;&gt;OK")+COUNTIFS(Solicitudes!$A$5:$A$204,A10,Solicitudes!$I$5:$I$204,"Solape: revisar"))</x:f>
        <x:v>0</x:v>
      </x:c>
      <x:c r="H10" s="8" t="str">
        <x:f>IF(COUNTA(A10:C10)=0,"",IF(OR(A10="",B10="",NOT(ISNUMBER(C10))),"Revisar datos",IF(OR(C10&lt;0,C10&lt;&gt;INT(C10),COUNTIF($A$9:$A$38,A10)&lt;&gt;1),"Revisar cupo o ID","OK")))</x:f>
        <x:v>OK</x:v>
      </x:c>
    </x:row>
    <x:row r="11" ht="25" customHeight="1">
      <x:c r="A11" s="7"/>
      <x:c r="B11" s="7"/>
      <x:c r="C11" s="9"/>
      <x:c r="D11" s="10" t="str">
        <x:f>IF(H11&lt;&gt;"OK","",IF(OR(G11&gt;0,Configuracion!$B$7&lt;&gt;"OK"),"Revisar",SUMIFS(Solicitudes!$H$5:$H$204,Solicitudes!$A$5:$A$204,A11,Solicitudes!$D$5:$D$204,"Aprobada",Solicitudes!$G$5:$G$204,"OK")))</x:f>
      </x:c>
      <x:c r="E11" s="10" t="str">
        <x:f>IF(H11&lt;&gt;"OK","",IF(OR(G11&gt;0,Configuracion!$B$7&lt;&gt;"OK"),"Revisar",SUMIFS(Solicitudes!$H$5:$H$204,Solicitudes!$A$5:$A$204,A11,Solicitudes!$D$5:$D$204,"Pendiente",Solicitudes!$G$5:$G$204,"OK")))</x:f>
      </x:c>
      <x:c r="F11" s="10" t="str">
        <x:f>IF(H11&lt;&gt;"OK","",IF(ISNUMBER(D11),C11-D11,"Revisar"))</x:f>
      </x:c>
      <x:c r="G11" s="10" t="str">
        <x:f>IF(A11="","",COUNTIFS(Solicitudes!$A$5:$A$204,A11,Solicitudes!$G$5:$G$204,"&lt;&gt;OK")+COUNTIFS(Solicitudes!$A$5:$A$204,A11,Solicitudes!$I$5:$I$204,"Solape: revisar"))</x:f>
      </x:c>
      <x:c r="H11" s="8" t="str">
        <x:f>IF(COUNTA(A11:C11)=0,"",IF(OR(A11="",B11="",NOT(ISNUMBER(C11))),"Revisar datos",IF(OR(C11&lt;0,C11&lt;&gt;INT(C11),COUNTIF($A$9:$A$38,A11)&lt;&gt;1),"Revisar cupo o ID","OK")))</x:f>
      </x:c>
    </x:row>
    <x:row r="12" ht="25" customHeight="1">
      <x:c r="A12" s="7"/>
      <x:c r="B12" s="7"/>
      <x:c r="C12" s="9"/>
      <x:c r="D12" s="10" t="str">
        <x:f>IF(H12&lt;&gt;"OK","",IF(OR(G12&gt;0,Configuracion!$B$7&lt;&gt;"OK"),"Revisar",SUMIFS(Solicitudes!$H$5:$H$204,Solicitudes!$A$5:$A$204,A12,Solicitudes!$D$5:$D$204,"Aprobada",Solicitudes!$G$5:$G$204,"OK")))</x:f>
      </x:c>
      <x:c r="E12" s="10" t="str">
        <x:f>IF(H12&lt;&gt;"OK","",IF(OR(G12&gt;0,Configuracion!$B$7&lt;&gt;"OK"),"Revisar",SUMIFS(Solicitudes!$H$5:$H$204,Solicitudes!$A$5:$A$204,A12,Solicitudes!$D$5:$D$204,"Pendiente",Solicitudes!$G$5:$G$204,"OK")))</x:f>
      </x:c>
      <x:c r="F12" s="10" t="str">
        <x:f>IF(H12&lt;&gt;"OK","",IF(ISNUMBER(D12),C12-D12,"Revisar"))</x:f>
      </x:c>
      <x:c r="G12" s="10" t="str">
        <x:f>IF(A12="","",COUNTIFS(Solicitudes!$A$5:$A$204,A12,Solicitudes!$G$5:$G$204,"&lt;&gt;OK")+COUNTIFS(Solicitudes!$A$5:$A$204,A12,Solicitudes!$I$5:$I$204,"Solape: revisar"))</x:f>
      </x:c>
      <x:c r="H12" s="8" t="str">
        <x:f>IF(COUNTA(A12:C12)=0,"",IF(OR(A12="",B12="",NOT(ISNUMBER(C12))),"Revisar datos",IF(OR(C12&lt;0,C12&lt;&gt;INT(C12),COUNTIF($A$9:$A$38,A12)&lt;&gt;1),"Revisar cupo o ID","OK")))</x:f>
      </x:c>
    </x:row>
    <x:row r="13" ht="25" customHeight="1">
      <x:c r="A13" s="7"/>
      <x:c r="B13" s="7"/>
      <x:c r="C13" s="9"/>
      <x:c r="D13" s="10" t="str">
        <x:f>IF(H13&lt;&gt;"OK","",IF(OR(G13&gt;0,Configuracion!$B$7&lt;&gt;"OK"),"Revisar",SUMIFS(Solicitudes!$H$5:$H$204,Solicitudes!$A$5:$A$204,A13,Solicitudes!$D$5:$D$204,"Aprobada",Solicitudes!$G$5:$G$204,"OK")))</x:f>
      </x:c>
      <x:c r="E13" s="10" t="str">
        <x:f>IF(H13&lt;&gt;"OK","",IF(OR(G13&gt;0,Configuracion!$B$7&lt;&gt;"OK"),"Revisar",SUMIFS(Solicitudes!$H$5:$H$204,Solicitudes!$A$5:$A$204,A13,Solicitudes!$D$5:$D$204,"Pendiente",Solicitudes!$G$5:$G$204,"OK")))</x:f>
      </x:c>
      <x:c r="F13" s="10" t="str">
        <x:f>IF(H13&lt;&gt;"OK","",IF(ISNUMBER(D13),C13-D13,"Revisar"))</x:f>
      </x:c>
      <x:c r="G13" s="10" t="str">
        <x:f>IF(A13="","",COUNTIFS(Solicitudes!$A$5:$A$204,A13,Solicitudes!$G$5:$G$204,"&lt;&gt;OK")+COUNTIFS(Solicitudes!$A$5:$A$204,A13,Solicitudes!$I$5:$I$204,"Solape: revisar"))</x:f>
      </x:c>
      <x:c r="H13" s="8" t="str">
        <x:f>IF(COUNTA(A13:C13)=0,"",IF(OR(A13="",B13="",NOT(ISNUMBER(C13))),"Revisar datos",IF(OR(C13&lt;0,C13&lt;&gt;INT(C13),COUNTIF($A$9:$A$38,A13)&lt;&gt;1),"Revisar cupo o ID","OK")))</x:f>
      </x:c>
    </x:row>
    <x:row r="14" ht="25" customHeight="1">
      <x:c r="A14" s="7"/>
      <x:c r="B14" s="7"/>
      <x:c r="C14" s="9"/>
      <x:c r="D14" s="10" t="str">
        <x:f>IF(H14&lt;&gt;"OK","",IF(OR(G14&gt;0,Configuracion!$B$7&lt;&gt;"OK"),"Revisar",SUMIFS(Solicitudes!$H$5:$H$204,Solicitudes!$A$5:$A$204,A14,Solicitudes!$D$5:$D$204,"Aprobada",Solicitudes!$G$5:$G$204,"OK")))</x:f>
      </x:c>
      <x:c r="E14" s="10" t="str">
        <x:f>IF(H14&lt;&gt;"OK","",IF(OR(G14&gt;0,Configuracion!$B$7&lt;&gt;"OK"),"Revisar",SUMIFS(Solicitudes!$H$5:$H$204,Solicitudes!$A$5:$A$204,A14,Solicitudes!$D$5:$D$204,"Pendiente",Solicitudes!$G$5:$G$204,"OK")))</x:f>
      </x:c>
      <x:c r="F14" s="10" t="str">
        <x:f>IF(H14&lt;&gt;"OK","",IF(ISNUMBER(D14),C14-D14,"Revisar"))</x:f>
      </x:c>
      <x:c r="G14" s="10" t="str">
        <x:f>IF(A14="","",COUNTIFS(Solicitudes!$A$5:$A$204,A14,Solicitudes!$G$5:$G$204,"&lt;&gt;OK")+COUNTIFS(Solicitudes!$A$5:$A$204,A14,Solicitudes!$I$5:$I$204,"Solape: revisar"))</x:f>
      </x:c>
      <x:c r="H14" s="8" t="str">
        <x:f>IF(COUNTA(A14:C14)=0,"",IF(OR(A14="",B14="",NOT(ISNUMBER(C14))),"Revisar datos",IF(OR(C14&lt;0,C14&lt;&gt;INT(C14),COUNTIF($A$9:$A$38,A14)&lt;&gt;1),"Revisar cupo o ID","OK")))</x:f>
      </x:c>
    </x:row>
    <x:row r="15" ht="25" customHeight="1">
      <x:c r="A15" s="7"/>
      <x:c r="B15" s="7"/>
      <x:c r="C15" s="9"/>
      <x:c r="D15" s="10" t="str">
        <x:f>IF(H15&lt;&gt;"OK","",IF(OR(G15&gt;0,Configuracion!$B$7&lt;&gt;"OK"),"Revisar",SUMIFS(Solicitudes!$H$5:$H$204,Solicitudes!$A$5:$A$204,A15,Solicitudes!$D$5:$D$204,"Aprobada",Solicitudes!$G$5:$G$204,"OK")))</x:f>
      </x:c>
      <x:c r="E15" s="10" t="str">
        <x:f>IF(H15&lt;&gt;"OK","",IF(OR(G15&gt;0,Configuracion!$B$7&lt;&gt;"OK"),"Revisar",SUMIFS(Solicitudes!$H$5:$H$204,Solicitudes!$A$5:$A$204,A15,Solicitudes!$D$5:$D$204,"Pendiente",Solicitudes!$G$5:$G$204,"OK")))</x:f>
      </x:c>
      <x:c r="F15" s="10" t="str">
        <x:f>IF(H15&lt;&gt;"OK","",IF(ISNUMBER(D15),C15-D15,"Revisar"))</x:f>
      </x:c>
      <x:c r="G15" s="10" t="str">
        <x:f>IF(A15="","",COUNTIFS(Solicitudes!$A$5:$A$204,A15,Solicitudes!$G$5:$G$204,"&lt;&gt;OK")+COUNTIFS(Solicitudes!$A$5:$A$204,A15,Solicitudes!$I$5:$I$204,"Solape: revisar"))</x:f>
      </x:c>
      <x:c r="H15" s="8" t="str">
        <x:f>IF(COUNTA(A15:C15)=0,"",IF(OR(A15="",B15="",NOT(ISNUMBER(C15))),"Revisar datos",IF(OR(C15&lt;0,C15&lt;&gt;INT(C15),COUNTIF($A$9:$A$38,A15)&lt;&gt;1),"Revisar cupo o ID","OK")))</x:f>
      </x:c>
    </x:row>
    <x:row r="16" ht="25" customHeight="1">
      <x:c r="A16" s="7"/>
      <x:c r="B16" s="7"/>
      <x:c r="C16" s="9"/>
      <x:c r="D16" s="10" t="str">
        <x:f>IF(H16&lt;&gt;"OK","",IF(OR(G16&gt;0,Configuracion!$B$7&lt;&gt;"OK"),"Revisar",SUMIFS(Solicitudes!$H$5:$H$204,Solicitudes!$A$5:$A$204,A16,Solicitudes!$D$5:$D$204,"Aprobada",Solicitudes!$G$5:$G$204,"OK")))</x:f>
      </x:c>
      <x:c r="E16" s="10" t="str">
        <x:f>IF(H16&lt;&gt;"OK","",IF(OR(G16&gt;0,Configuracion!$B$7&lt;&gt;"OK"),"Revisar",SUMIFS(Solicitudes!$H$5:$H$204,Solicitudes!$A$5:$A$204,A16,Solicitudes!$D$5:$D$204,"Pendiente",Solicitudes!$G$5:$G$204,"OK")))</x:f>
      </x:c>
      <x:c r="F16" s="10" t="str">
        <x:f>IF(H16&lt;&gt;"OK","",IF(ISNUMBER(D16),C16-D16,"Revisar"))</x:f>
      </x:c>
      <x:c r="G16" s="10" t="str">
        <x:f>IF(A16="","",COUNTIFS(Solicitudes!$A$5:$A$204,A16,Solicitudes!$G$5:$G$204,"&lt;&gt;OK")+COUNTIFS(Solicitudes!$A$5:$A$204,A16,Solicitudes!$I$5:$I$204,"Solape: revisar"))</x:f>
      </x:c>
      <x:c r="H16" s="8" t="str">
        <x:f>IF(COUNTA(A16:C16)=0,"",IF(OR(A16="",B16="",NOT(ISNUMBER(C16))),"Revisar datos",IF(OR(C16&lt;0,C16&lt;&gt;INT(C16),COUNTIF($A$9:$A$38,A16)&lt;&gt;1),"Revisar cupo o ID","OK")))</x:f>
      </x:c>
    </x:row>
    <x:row r="17" ht="25" customHeight="1">
      <x:c r="A17" s="7"/>
      <x:c r="B17" s="7"/>
      <x:c r="C17" s="9"/>
      <x:c r="D17" s="10" t="str">
        <x:f>IF(H17&lt;&gt;"OK","",IF(OR(G17&gt;0,Configuracion!$B$7&lt;&gt;"OK"),"Revisar",SUMIFS(Solicitudes!$H$5:$H$204,Solicitudes!$A$5:$A$204,A17,Solicitudes!$D$5:$D$204,"Aprobada",Solicitudes!$G$5:$G$204,"OK")))</x:f>
      </x:c>
      <x:c r="E17" s="10" t="str">
        <x:f>IF(H17&lt;&gt;"OK","",IF(OR(G17&gt;0,Configuracion!$B$7&lt;&gt;"OK"),"Revisar",SUMIFS(Solicitudes!$H$5:$H$204,Solicitudes!$A$5:$A$204,A17,Solicitudes!$D$5:$D$204,"Pendiente",Solicitudes!$G$5:$G$204,"OK")))</x:f>
      </x:c>
      <x:c r="F17" s="10" t="str">
        <x:f>IF(H17&lt;&gt;"OK","",IF(ISNUMBER(D17),C17-D17,"Revisar"))</x:f>
      </x:c>
      <x:c r="G17" s="10" t="str">
        <x:f>IF(A17="","",COUNTIFS(Solicitudes!$A$5:$A$204,A17,Solicitudes!$G$5:$G$204,"&lt;&gt;OK")+COUNTIFS(Solicitudes!$A$5:$A$204,A17,Solicitudes!$I$5:$I$204,"Solape: revisar"))</x:f>
      </x:c>
      <x:c r="H17" s="8" t="str">
        <x:f>IF(COUNTA(A17:C17)=0,"",IF(OR(A17="",B17="",NOT(ISNUMBER(C17))),"Revisar datos",IF(OR(C17&lt;0,C17&lt;&gt;INT(C17),COUNTIF($A$9:$A$38,A17)&lt;&gt;1),"Revisar cupo o ID","OK")))</x:f>
      </x:c>
    </x:row>
    <x:row r="18" ht="25" customHeight="1">
      <x:c r="A18" s="7"/>
      <x:c r="B18" s="7"/>
      <x:c r="C18" s="9"/>
      <x:c r="D18" s="10" t="str">
        <x:f>IF(H18&lt;&gt;"OK","",IF(OR(G18&gt;0,Configuracion!$B$7&lt;&gt;"OK"),"Revisar",SUMIFS(Solicitudes!$H$5:$H$204,Solicitudes!$A$5:$A$204,A18,Solicitudes!$D$5:$D$204,"Aprobada",Solicitudes!$G$5:$G$204,"OK")))</x:f>
      </x:c>
      <x:c r="E18" s="10" t="str">
        <x:f>IF(H18&lt;&gt;"OK","",IF(OR(G18&gt;0,Configuracion!$B$7&lt;&gt;"OK"),"Revisar",SUMIFS(Solicitudes!$H$5:$H$204,Solicitudes!$A$5:$A$204,A18,Solicitudes!$D$5:$D$204,"Pendiente",Solicitudes!$G$5:$G$204,"OK")))</x:f>
      </x:c>
      <x:c r="F18" s="10" t="str">
        <x:f>IF(H18&lt;&gt;"OK","",IF(ISNUMBER(D18),C18-D18,"Revisar"))</x:f>
      </x:c>
      <x:c r="G18" s="10" t="str">
        <x:f>IF(A18="","",COUNTIFS(Solicitudes!$A$5:$A$204,A18,Solicitudes!$G$5:$G$204,"&lt;&gt;OK")+COUNTIFS(Solicitudes!$A$5:$A$204,A18,Solicitudes!$I$5:$I$204,"Solape: revisar"))</x:f>
      </x:c>
      <x:c r="H18" s="8" t="str">
        <x:f>IF(COUNTA(A18:C18)=0,"",IF(OR(A18="",B18="",NOT(ISNUMBER(C18))),"Revisar datos",IF(OR(C18&lt;0,C18&lt;&gt;INT(C18),COUNTIF($A$9:$A$38,A18)&lt;&gt;1),"Revisar cupo o ID","OK")))</x:f>
      </x:c>
    </x:row>
    <x:row r="19" ht="25" customHeight="1">
      <x:c r="A19" s="7"/>
      <x:c r="B19" s="7"/>
      <x:c r="C19" s="9"/>
      <x:c r="D19" s="10" t="str">
        <x:f>IF(H19&lt;&gt;"OK","",IF(OR(G19&gt;0,Configuracion!$B$7&lt;&gt;"OK"),"Revisar",SUMIFS(Solicitudes!$H$5:$H$204,Solicitudes!$A$5:$A$204,A19,Solicitudes!$D$5:$D$204,"Aprobada",Solicitudes!$G$5:$G$204,"OK")))</x:f>
      </x:c>
      <x:c r="E19" s="10" t="str">
        <x:f>IF(H19&lt;&gt;"OK","",IF(OR(G19&gt;0,Configuracion!$B$7&lt;&gt;"OK"),"Revisar",SUMIFS(Solicitudes!$H$5:$H$204,Solicitudes!$A$5:$A$204,A19,Solicitudes!$D$5:$D$204,"Pendiente",Solicitudes!$G$5:$G$204,"OK")))</x:f>
      </x:c>
      <x:c r="F19" s="10" t="str">
        <x:f>IF(H19&lt;&gt;"OK","",IF(ISNUMBER(D19),C19-D19,"Revisar"))</x:f>
      </x:c>
      <x:c r="G19" s="10" t="str">
        <x:f>IF(A19="","",COUNTIFS(Solicitudes!$A$5:$A$204,A19,Solicitudes!$G$5:$G$204,"&lt;&gt;OK")+COUNTIFS(Solicitudes!$A$5:$A$204,A19,Solicitudes!$I$5:$I$204,"Solape: revisar"))</x:f>
      </x:c>
      <x:c r="H19" s="8" t="str">
        <x:f>IF(COUNTA(A19:C19)=0,"",IF(OR(A19="",B19="",NOT(ISNUMBER(C19))),"Revisar datos",IF(OR(C19&lt;0,C19&lt;&gt;INT(C19),COUNTIF($A$9:$A$38,A19)&lt;&gt;1),"Revisar cupo o ID","OK")))</x:f>
      </x:c>
    </x:row>
    <x:row r="20" ht="25" customHeight="1">
      <x:c r="A20" s="7"/>
      <x:c r="B20" s="7"/>
      <x:c r="C20" s="9"/>
      <x:c r="D20" s="10" t="str">
        <x:f>IF(H20&lt;&gt;"OK","",IF(OR(G20&gt;0,Configuracion!$B$7&lt;&gt;"OK"),"Revisar",SUMIFS(Solicitudes!$H$5:$H$204,Solicitudes!$A$5:$A$204,A20,Solicitudes!$D$5:$D$204,"Aprobada",Solicitudes!$G$5:$G$204,"OK")))</x:f>
      </x:c>
      <x:c r="E20" s="10" t="str">
        <x:f>IF(H20&lt;&gt;"OK","",IF(OR(G20&gt;0,Configuracion!$B$7&lt;&gt;"OK"),"Revisar",SUMIFS(Solicitudes!$H$5:$H$204,Solicitudes!$A$5:$A$204,A20,Solicitudes!$D$5:$D$204,"Pendiente",Solicitudes!$G$5:$G$204,"OK")))</x:f>
      </x:c>
      <x:c r="F20" s="10" t="str">
        <x:f>IF(H20&lt;&gt;"OK","",IF(ISNUMBER(D20),C20-D20,"Revisar"))</x:f>
      </x:c>
      <x:c r="G20" s="10" t="str">
        <x:f>IF(A20="","",COUNTIFS(Solicitudes!$A$5:$A$204,A20,Solicitudes!$G$5:$G$204,"&lt;&gt;OK")+COUNTIFS(Solicitudes!$A$5:$A$204,A20,Solicitudes!$I$5:$I$204,"Solape: revisar"))</x:f>
      </x:c>
      <x:c r="H20" s="8" t="str">
        <x:f>IF(COUNTA(A20:C20)=0,"",IF(OR(A20="",B20="",NOT(ISNUMBER(C20))),"Revisar datos",IF(OR(C20&lt;0,C20&lt;&gt;INT(C20),COUNTIF($A$9:$A$38,A20)&lt;&gt;1),"Revisar cupo o ID","OK")))</x:f>
      </x:c>
    </x:row>
    <x:row r="21" ht="25" customHeight="1">
      <x:c r="A21" s="7"/>
      <x:c r="B21" s="7"/>
      <x:c r="C21" s="9"/>
      <x:c r="D21" s="10" t="str">
        <x:f>IF(H21&lt;&gt;"OK","",IF(OR(G21&gt;0,Configuracion!$B$7&lt;&gt;"OK"),"Revisar",SUMIFS(Solicitudes!$H$5:$H$204,Solicitudes!$A$5:$A$204,A21,Solicitudes!$D$5:$D$204,"Aprobada",Solicitudes!$G$5:$G$204,"OK")))</x:f>
      </x:c>
      <x:c r="E21" s="10" t="str">
        <x:f>IF(H21&lt;&gt;"OK","",IF(OR(G21&gt;0,Configuracion!$B$7&lt;&gt;"OK"),"Revisar",SUMIFS(Solicitudes!$H$5:$H$204,Solicitudes!$A$5:$A$204,A21,Solicitudes!$D$5:$D$204,"Pendiente",Solicitudes!$G$5:$G$204,"OK")))</x:f>
      </x:c>
      <x:c r="F21" s="10" t="str">
        <x:f>IF(H21&lt;&gt;"OK","",IF(ISNUMBER(D21),C21-D21,"Revisar"))</x:f>
      </x:c>
      <x:c r="G21" s="10" t="str">
        <x:f>IF(A21="","",COUNTIFS(Solicitudes!$A$5:$A$204,A21,Solicitudes!$G$5:$G$204,"&lt;&gt;OK")+COUNTIFS(Solicitudes!$A$5:$A$204,A21,Solicitudes!$I$5:$I$204,"Solape: revisar"))</x:f>
      </x:c>
      <x:c r="H21" s="8" t="str">
        <x:f>IF(COUNTA(A21:C21)=0,"",IF(OR(A21="",B21="",NOT(ISNUMBER(C21))),"Revisar datos",IF(OR(C21&lt;0,C21&lt;&gt;INT(C21),COUNTIF($A$9:$A$38,A21)&lt;&gt;1),"Revisar cupo o ID","OK")))</x:f>
      </x:c>
    </x:row>
    <x:row r="22" ht="25" customHeight="1">
      <x:c r="A22" s="7"/>
      <x:c r="B22" s="7"/>
      <x:c r="C22" s="9"/>
      <x:c r="D22" s="10" t="str">
        <x:f>IF(H22&lt;&gt;"OK","",IF(OR(G22&gt;0,Configuracion!$B$7&lt;&gt;"OK"),"Revisar",SUMIFS(Solicitudes!$H$5:$H$204,Solicitudes!$A$5:$A$204,A22,Solicitudes!$D$5:$D$204,"Aprobada",Solicitudes!$G$5:$G$204,"OK")))</x:f>
      </x:c>
      <x:c r="E22" s="10" t="str">
        <x:f>IF(H22&lt;&gt;"OK","",IF(OR(G22&gt;0,Configuracion!$B$7&lt;&gt;"OK"),"Revisar",SUMIFS(Solicitudes!$H$5:$H$204,Solicitudes!$A$5:$A$204,A22,Solicitudes!$D$5:$D$204,"Pendiente",Solicitudes!$G$5:$G$204,"OK")))</x:f>
      </x:c>
      <x:c r="F22" s="10" t="str">
        <x:f>IF(H22&lt;&gt;"OK","",IF(ISNUMBER(D22),C22-D22,"Revisar"))</x:f>
      </x:c>
      <x:c r="G22" s="10" t="str">
        <x:f>IF(A22="","",COUNTIFS(Solicitudes!$A$5:$A$204,A22,Solicitudes!$G$5:$G$204,"&lt;&gt;OK")+COUNTIFS(Solicitudes!$A$5:$A$204,A22,Solicitudes!$I$5:$I$204,"Solape: revisar"))</x:f>
      </x:c>
      <x:c r="H22" s="8" t="str">
        <x:f>IF(COUNTA(A22:C22)=0,"",IF(OR(A22="",B22="",NOT(ISNUMBER(C22))),"Revisar datos",IF(OR(C22&lt;0,C22&lt;&gt;INT(C22),COUNTIF($A$9:$A$38,A22)&lt;&gt;1),"Revisar cupo o ID","OK")))</x:f>
      </x:c>
    </x:row>
    <x:row r="23" ht="25" customHeight="1">
      <x:c r="A23" s="7"/>
      <x:c r="B23" s="7"/>
      <x:c r="C23" s="9"/>
      <x:c r="D23" s="10" t="str">
        <x:f>IF(H23&lt;&gt;"OK","",IF(OR(G23&gt;0,Configuracion!$B$7&lt;&gt;"OK"),"Revisar",SUMIFS(Solicitudes!$H$5:$H$204,Solicitudes!$A$5:$A$204,A23,Solicitudes!$D$5:$D$204,"Aprobada",Solicitudes!$G$5:$G$204,"OK")))</x:f>
      </x:c>
      <x:c r="E23" s="10" t="str">
        <x:f>IF(H23&lt;&gt;"OK","",IF(OR(G23&gt;0,Configuracion!$B$7&lt;&gt;"OK"),"Revisar",SUMIFS(Solicitudes!$H$5:$H$204,Solicitudes!$A$5:$A$204,A23,Solicitudes!$D$5:$D$204,"Pendiente",Solicitudes!$G$5:$G$204,"OK")))</x:f>
      </x:c>
      <x:c r="F23" s="10" t="str">
        <x:f>IF(H23&lt;&gt;"OK","",IF(ISNUMBER(D23),C23-D23,"Revisar"))</x:f>
      </x:c>
      <x:c r="G23" s="10" t="str">
        <x:f>IF(A23="","",COUNTIFS(Solicitudes!$A$5:$A$204,A23,Solicitudes!$G$5:$G$204,"&lt;&gt;OK")+COUNTIFS(Solicitudes!$A$5:$A$204,A23,Solicitudes!$I$5:$I$204,"Solape: revisar"))</x:f>
      </x:c>
      <x:c r="H23" s="8" t="str">
        <x:f>IF(COUNTA(A23:C23)=0,"",IF(OR(A23="",B23="",NOT(ISNUMBER(C23))),"Revisar datos",IF(OR(C23&lt;0,C23&lt;&gt;INT(C23),COUNTIF($A$9:$A$38,A23)&lt;&gt;1),"Revisar cupo o ID","OK")))</x:f>
      </x:c>
    </x:row>
    <x:row r="24" ht="25" customHeight="1">
      <x:c r="A24" s="7"/>
      <x:c r="B24" s="7"/>
      <x:c r="C24" s="9"/>
      <x:c r="D24" s="10" t="str">
        <x:f>IF(H24&lt;&gt;"OK","",IF(OR(G24&gt;0,Configuracion!$B$7&lt;&gt;"OK"),"Revisar",SUMIFS(Solicitudes!$H$5:$H$204,Solicitudes!$A$5:$A$204,A24,Solicitudes!$D$5:$D$204,"Aprobada",Solicitudes!$G$5:$G$204,"OK")))</x:f>
      </x:c>
      <x:c r="E24" s="10" t="str">
        <x:f>IF(H24&lt;&gt;"OK","",IF(OR(G24&gt;0,Configuracion!$B$7&lt;&gt;"OK"),"Revisar",SUMIFS(Solicitudes!$H$5:$H$204,Solicitudes!$A$5:$A$204,A24,Solicitudes!$D$5:$D$204,"Pendiente",Solicitudes!$G$5:$G$204,"OK")))</x:f>
      </x:c>
      <x:c r="F24" s="10" t="str">
        <x:f>IF(H24&lt;&gt;"OK","",IF(ISNUMBER(D24),C24-D24,"Revisar"))</x:f>
      </x:c>
      <x:c r="G24" s="10" t="str">
        <x:f>IF(A24="","",COUNTIFS(Solicitudes!$A$5:$A$204,A24,Solicitudes!$G$5:$G$204,"&lt;&gt;OK")+COUNTIFS(Solicitudes!$A$5:$A$204,A24,Solicitudes!$I$5:$I$204,"Solape: revisar"))</x:f>
      </x:c>
      <x:c r="H24" s="8" t="str">
        <x:f>IF(COUNTA(A24:C24)=0,"",IF(OR(A24="",B24="",NOT(ISNUMBER(C24))),"Revisar datos",IF(OR(C24&lt;0,C24&lt;&gt;INT(C24),COUNTIF($A$9:$A$38,A24)&lt;&gt;1),"Revisar cupo o ID","OK")))</x:f>
      </x:c>
    </x:row>
    <x:row r="25" ht="25" customHeight="1">
      <x:c r="A25" s="7"/>
      <x:c r="B25" s="7"/>
      <x:c r="C25" s="9"/>
      <x:c r="D25" s="10" t="str">
        <x:f>IF(H25&lt;&gt;"OK","",IF(OR(G25&gt;0,Configuracion!$B$7&lt;&gt;"OK"),"Revisar",SUMIFS(Solicitudes!$H$5:$H$204,Solicitudes!$A$5:$A$204,A25,Solicitudes!$D$5:$D$204,"Aprobada",Solicitudes!$G$5:$G$204,"OK")))</x:f>
      </x:c>
      <x:c r="E25" s="10" t="str">
        <x:f>IF(H25&lt;&gt;"OK","",IF(OR(G25&gt;0,Configuracion!$B$7&lt;&gt;"OK"),"Revisar",SUMIFS(Solicitudes!$H$5:$H$204,Solicitudes!$A$5:$A$204,A25,Solicitudes!$D$5:$D$204,"Pendiente",Solicitudes!$G$5:$G$204,"OK")))</x:f>
      </x:c>
      <x:c r="F25" s="10" t="str">
        <x:f>IF(H25&lt;&gt;"OK","",IF(ISNUMBER(D25),C25-D25,"Revisar"))</x:f>
      </x:c>
      <x:c r="G25" s="10" t="str">
        <x:f>IF(A25="","",COUNTIFS(Solicitudes!$A$5:$A$204,A25,Solicitudes!$G$5:$G$204,"&lt;&gt;OK")+COUNTIFS(Solicitudes!$A$5:$A$204,A25,Solicitudes!$I$5:$I$204,"Solape: revisar"))</x:f>
      </x:c>
      <x:c r="H25" s="8" t="str">
        <x:f>IF(COUNTA(A25:C25)=0,"",IF(OR(A25="",B25="",NOT(ISNUMBER(C25))),"Revisar datos",IF(OR(C25&lt;0,C25&lt;&gt;INT(C25),COUNTIF($A$9:$A$38,A25)&lt;&gt;1),"Revisar cupo o ID","OK")))</x:f>
      </x:c>
    </x:row>
    <x:row r="26" ht="25" customHeight="1">
      <x:c r="A26" s="7"/>
      <x:c r="B26" s="7"/>
      <x:c r="C26" s="9"/>
      <x:c r="D26" s="10" t="str">
        <x:f>IF(H26&lt;&gt;"OK","",IF(OR(G26&gt;0,Configuracion!$B$7&lt;&gt;"OK"),"Revisar",SUMIFS(Solicitudes!$H$5:$H$204,Solicitudes!$A$5:$A$204,A26,Solicitudes!$D$5:$D$204,"Aprobada",Solicitudes!$G$5:$G$204,"OK")))</x:f>
      </x:c>
      <x:c r="E26" s="10" t="str">
        <x:f>IF(H26&lt;&gt;"OK","",IF(OR(G26&gt;0,Configuracion!$B$7&lt;&gt;"OK"),"Revisar",SUMIFS(Solicitudes!$H$5:$H$204,Solicitudes!$A$5:$A$204,A26,Solicitudes!$D$5:$D$204,"Pendiente",Solicitudes!$G$5:$G$204,"OK")))</x:f>
      </x:c>
      <x:c r="F26" s="10" t="str">
        <x:f>IF(H26&lt;&gt;"OK","",IF(ISNUMBER(D26),C26-D26,"Revisar"))</x:f>
      </x:c>
      <x:c r="G26" s="10" t="str">
        <x:f>IF(A26="","",COUNTIFS(Solicitudes!$A$5:$A$204,A26,Solicitudes!$G$5:$G$204,"&lt;&gt;OK")+COUNTIFS(Solicitudes!$A$5:$A$204,A26,Solicitudes!$I$5:$I$204,"Solape: revisar"))</x:f>
      </x:c>
      <x:c r="H26" s="8" t="str">
        <x:f>IF(COUNTA(A26:C26)=0,"",IF(OR(A26="",B26="",NOT(ISNUMBER(C26))),"Revisar datos",IF(OR(C26&lt;0,C26&lt;&gt;INT(C26),COUNTIF($A$9:$A$38,A26)&lt;&gt;1),"Revisar cupo o ID","OK")))</x:f>
      </x:c>
    </x:row>
    <x:row r="27" ht="25" customHeight="1">
      <x:c r="A27" s="7"/>
      <x:c r="B27" s="7"/>
      <x:c r="C27" s="9"/>
      <x:c r="D27" s="10" t="str">
        <x:f>IF(H27&lt;&gt;"OK","",IF(OR(G27&gt;0,Configuracion!$B$7&lt;&gt;"OK"),"Revisar",SUMIFS(Solicitudes!$H$5:$H$204,Solicitudes!$A$5:$A$204,A27,Solicitudes!$D$5:$D$204,"Aprobada",Solicitudes!$G$5:$G$204,"OK")))</x:f>
      </x:c>
      <x:c r="E27" s="10" t="str">
        <x:f>IF(H27&lt;&gt;"OK","",IF(OR(G27&gt;0,Configuracion!$B$7&lt;&gt;"OK"),"Revisar",SUMIFS(Solicitudes!$H$5:$H$204,Solicitudes!$A$5:$A$204,A27,Solicitudes!$D$5:$D$204,"Pendiente",Solicitudes!$G$5:$G$204,"OK")))</x:f>
      </x:c>
      <x:c r="F27" s="10" t="str">
        <x:f>IF(H27&lt;&gt;"OK","",IF(ISNUMBER(D27),C27-D27,"Revisar"))</x:f>
      </x:c>
      <x:c r="G27" s="10" t="str">
        <x:f>IF(A27="","",COUNTIFS(Solicitudes!$A$5:$A$204,A27,Solicitudes!$G$5:$G$204,"&lt;&gt;OK")+COUNTIFS(Solicitudes!$A$5:$A$204,A27,Solicitudes!$I$5:$I$204,"Solape: revisar"))</x:f>
      </x:c>
      <x:c r="H27" s="8" t="str">
        <x:f>IF(COUNTA(A27:C27)=0,"",IF(OR(A27="",B27="",NOT(ISNUMBER(C27))),"Revisar datos",IF(OR(C27&lt;0,C27&lt;&gt;INT(C27),COUNTIF($A$9:$A$38,A27)&lt;&gt;1),"Revisar cupo o ID","OK")))</x:f>
      </x:c>
    </x:row>
    <x:row r="28" ht="25" customHeight="1">
      <x:c r="A28" s="7"/>
      <x:c r="B28" s="7"/>
      <x:c r="C28" s="9"/>
      <x:c r="D28" s="10" t="str">
        <x:f>IF(H28&lt;&gt;"OK","",IF(OR(G28&gt;0,Configuracion!$B$7&lt;&gt;"OK"),"Revisar",SUMIFS(Solicitudes!$H$5:$H$204,Solicitudes!$A$5:$A$204,A28,Solicitudes!$D$5:$D$204,"Aprobada",Solicitudes!$G$5:$G$204,"OK")))</x:f>
      </x:c>
      <x:c r="E28" s="10" t="str">
        <x:f>IF(H28&lt;&gt;"OK","",IF(OR(G28&gt;0,Configuracion!$B$7&lt;&gt;"OK"),"Revisar",SUMIFS(Solicitudes!$H$5:$H$204,Solicitudes!$A$5:$A$204,A28,Solicitudes!$D$5:$D$204,"Pendiente",Solicitudes!$G$5:$G$204,"OK")))</x:f>
      </x:c>
      <x:c r="F28" s="10" t="str">
        <x:f>IF(H28&lt;&gt;"OK","",IF(ISNUMBER(D28),C28-D28,"Revisar"))</x:f>
      </x:c>
      <x:c r="G28" s="10" t="str">
        <x:f>IF(A28="","",COUNTIFS(Solicitudes!$A$5:$A$204,A28,Solicitudes!$G$5:$G$204,"&lt;&gt;OK")+COUNTIFS(Solicitudes!$A$5:$A$204,A28,Solicitudes!$I$5:$I$204,"Solape: revisar"))</x:f>
      </x:c>
      <x:c r="H28" s="8" t="str">
        <x:f>IF(COUNTA(A28:C28)=0,"",IF(OR(A28="",B28="",NOT(ISNUMBER(C28))),"Revisar datos",IF(OR(C28&lt;0,C28&lt;&gt;INT(C28),COUNTIF($A$9:$A$38,A28)&lt;&gt;1),"Revisar cupo o ID","OK")))</x:f>
      </x:c>
    </x:row>
    <x:row r="29" ht="25" customHeight="1">
      <x:c r="A29" s="7"/>
      <x:c r="B29" s="7"/>
      <x:c r="C29" s="9"/>
      <x:c r="D29" s="10" t="str">
        <x:f>IF(H29&lt;&gt;"OK","",IF(OR(G29&gt;0,Configuracion!$B$7&lt;&gt;"OK"),"Revisar",SUMIFS(Solicitudes!$H$5:$H$204,Solicitudes!$A$5:$A$204,A29,Solicitudes!$D$5:$D$204,"Aprobada",Solicitudes!$G$5:$G$204,"OK")))</x:f>
      </x:c>
      <x:c r="E29" s="10" t="str">
        <x:f>IF(H29&lt;&gt;"OK","",IF(OR(G29&gt;0,Configuracion!$B$7&lt;&gt;"OK"),"Revisar",SUMIFS(Solicitudes!$H$5:$H$204,Solicitudes!$A$5:$A$204,A29,Solicitudes!$D$5:$D$204,"Pendiente",Solicitudes!$G$5:$G$204,"OK")))</x:f>
      </x:c>
      <x:c r="F29" s="10" t="str">
        <x:f>IF(H29&lt;&gt;"OK","",IF(ISNUMBER(D29),C29-D29,"Revisar"))</x:f>
      </x:c>
      <x:c r="G29" s="10" t="str">
        <x:f>IF(A29="","",COUNTIFS(Solicitudes!$A$5:$A$204,A29,Solicitudes!$G$5:$G$204,"&lt;&gt;OK")+COUNTIFS(Solicitudes!$A$5:$A$204,A29,Solicitudes!$I$5:$I$204,"Solape: revisar"))</x:f>
      </x:c>
      <x:c r="H29" s="8" t="str">
        <x:f>IF(COUNTA(A29:C29)=0,"",IF(OR(A29="",B29="",NOT(ISNUMBER(C29))),"Revisar datos",IF(OR(C29&lt;0,C29&lt;&gt;INT(C29),COUNTIF($A$9:$A$38,A29)&lt;&gt;1),"Revisar cupo o ID","OK")))</x:f>
      </x:c>
    </x:row>
    <x:row r="30" ht="25" customHeight="1">
      <x:c r="A30" s="7"/>
      <x:c r="B30" s="7"/>
      <x:c r="C30" s="9"/>
      <x:c r="D30" s="10" t="str">
        <x:f>IF(H30&lt;&gt;"OK","",IF(OR(G30&gt;0,Configuracion!$B$7&lt;&gt;"OK"),"Revisar",SUMIFS(Solicitudes!$H$5:$H$204,Solicitudes!$A$5:$A$204,A30,Solicitudes!$D$5:$D$204,"Aprobada",Solicitudes!$G$5:$G$204,"OK")))</x:f>
      </x:c>
      <x:c r="E30" s="10" t="str">
        <x:f>IF(H30&lt;&gt;"OK","",IF(OR(G30&gt;0,Configuracion!$B$7&lt;&gt;"OK"),"Revisar",SUMIFS(Solicitudes!$H$5:$H$204,Solicitudes!$A$5:$A$204,A30,Solicitudes!$D$5:$D$204,"Pendiente",Solicitudes!$G$5:$G$204,"OK")))</x:f>
      </x:c>
      <x:c r="F30" s="10" t="str">
        <x:f>IF(H30&lt;&gt;"OK","",IF(ISNUMBER(D30),C30-D30,"Revisar"))</x:f>
      </x:c>
      <x:c r="G30" s="10" t="str">
        <x:f>IF(A30="","",COUNTIFS(Solicitudes!$A$5:$A$204,A30,Solicitudes!$G$5:$G$204,"&lt;&gt;OK")+COUNTIFS(Solicitudes!$A$5:$A$204,A30,Solicitudes!$I$5:$I$204,"Solape: revisar"))</x:f>
      </x:c>
      <x:c r="H30" s="8" t="str">
        <x:f>IF(COUNTA(A30:C30)=0,"",IF(OR(A30="",B30="",NOT(ISNUMBER(C30))),"Revisar datos",IF(OR(C30&lt;0,C30&lt;&gt;INT(C30),COUNTIF($A$9:$A$38,A30)&lt;&gt;1),"Revisar cupo o ID","OK")))</x:f>
      </x:c>
    </x:row>
    <x:row r="31" ht="25" customHeight="1">
      <x:c r="A31" s="7"/>
      <x:c r="B31" s="7"/>
      <x:c r="C31" s="9"/>
      <x:c r="D31" s="10" t="str">
        <x:f>IF(H31&lt;&gt;"OK","",IF(OR(G31&gt;0,Configuracion!$B$7&lt;&gt;"OK"),"Revisar",SUMIFS(Solicitudes!$H$5:$H$204,Solicitudes!$A$5:$A$204,A31,Solicitudes!$D$5:$D$204,"Aprobada",Solicitudes!$G$5:$G$204,"OK")))</x:f>
      </x:c>
      <x:c r="E31" s="10" t="str">
        <x:f>IF(H31&lt;&gt;"OK","",IF(OR(G31&gt;0,Configuracion!$B$7&lt;&gt;"OK"),"Revisar",SUMIFS(Solicitudes!$H$5:$H$204,Solicitudes!$A$5:$A$204,A31,Solicitudes!$D$5:$D$204,"Pendiente",Solicitudes!$G$5:$G$204,"OK")))</x:f>
      </x:c>
      <x:c r="F31" s="10" t="str">
        <x:f>IF(H31&lt;&gt;"OK","",IF(ISNUMBER(D31),C31-D31,"Revisar"))</x:f>
      </x:c>
      <x:c r="G31" s="10" t="str">
        <x:f>IF(A31="","",COUNTIFS(Solicitudes!$A$5:$A$204,A31,Solicitudes!$G$5:$G$204,"&lt;&gt;OK")+COUNTIFS(Solicitudes!$A$5:$A$204,A31,Solicitudes!$I$5:$I$204,"Solape: revisar"))</x:f>
      </x:c>
      <x:c r="H31" s="8" t="str">
        <x:f>IF(COUNTA(A31:C31)=0,"",IF(OR(A31="",B31="",NOT(ISNUMBER(C31))),"Revisar datos",IF(OR(C31&lt;0,C31&lt;&gt;INT(C31),COUNTIF($A$9:$A$38,A31)&lt;&gt;1),"Revisar cupo o ID","OK")))</x:f>
      </x:c>
    </x:row>
    <x:row r="32" ht="25" customHeight="1">
      <x:c r="A32" s="7"/>
      <x:c r="B32" s="7"/>
      <x:c r="C32" s="9"/>
      <x:c r="D32" s="10" t="str">
        <x:f>IF(H32&lt;&gt;"OK","",IF(OR(G32&gt;0,Configuracion!$B$7&lt;&gt;"OK"),"Revisar",SUMIFS(Solicitudes!$H$5:$H$204,Solicitudes!$A$5:$A$204,A32,Solicitudes!$D$5:$D$204,"Aprobada",Solicitudes!$G$5:$G$204,"OK")))</x:f>
      </x:c>
      <x:c r="E32" s="10" t="str">
        <x:f>IF(H32&lt;&gt;"OK","",IF(OR(G32&gt;0,Configuracion!$B$7&lt;&gt;"OK"),"Revisar",SUMIFS(Solicitudes!$H$5:$H$204,Solicitudes!$A$5:$A$204,A32,Solicitudes!$D$5:$D$204,"Pendiente",Solicitudes!$G$5:$G$204,"OK")))</x:f>
      </x:c>
      <x:c r="F32" s="10" t="str">
        <x:f>IF(H32&lt;&gt;"OK","",IF(ISNUMBER(D32),C32-D32,"Revisar"))</x:f>
      </x:c>
      <x:c r="G32" s="10" t="str">
        <x:f>IF(A32="","",COUNTIFS(Solicitudes!$A$5:$A$204,A32,Solicitudes!$G$5:$G$204,"&lt;&gt;OK")+COUNTIFS(Solicitudes!$A$5:$A$204,A32,Solicitudes!$I$5:$I$204,"Solape: revisar"))</x:f>
      </x:c>
      <x:c r="H32" s="8" t="str">
        <x:f>IF(COUNTA(A32:C32)=0,"",IF(OR(A32="",B32="",NOT(ISNUMBER(C32))),"Revisar datos",IF(OR(C32&lt;0,C32&lt;&gt;INT(C32),COUNTIF($A$9:$A$38,A32)&lt;&gt;1),"Revisar cupo o ID","OK")))</x:f>
      </x:c>
    </x:row>
    <x:row r="33" ht="25" customHeight="1">
      <x:c r="A33" s="7"/>
      <x:c r="B33" s="7"/>
      <x:c r="C33" s="9"/>
      <x:c r="D33" s="10" t="str">
        <x:f>IF(H33&lt;&gt;"OK","",IF(OR(G33&gt;0,Configuracion!$B$7&lt;&gt;"OK"),"Revisar",SUMIFS(Solicitudes!$H$5:$H$204,Solicitudes!$A$5:$A$204,A33,Solicitudes!$D$5:$D$204,"Aprobada",Solicitudes!$G$5:$G$204,"OK")))</x:f>
      </x:c>
      <x:c r="E33" s="10" t="str">
        <x:f>IF(H33&lt;&gt;"OK","",IF(OR(G33&gt;0,Configuracion!$B$7&lt;&gt;"OK"),"Revisar",SUMIFS(Solicitudes!$H$5:$H$204,Solicitudes!$A$5:$A$204,A33,Solicitudes!$D$5:$D$204,"Pendiente",Solicitudes!$G$5:$G$204,"OK")))</x:f>
      </x:c>
      <x:c r="F33" s="10" t="str">
        <x:f>IF(H33&lt;&gt;"OK","",IF(ISNUMBER(D33),C33-D33,"Revisar"))</x:f>
      </x:c>
      <x:c r="G33" s="10" t="str">
        <x:f>IF(A33="","",COUNTIFS(Solicitudes!$A$5:$A$204,A33,Solicitudes!$G$5:$G$204,"&lt;&gt;OK")+COUNTIFS(Solicitudes!$A$5:$A$204,A33,Solicitudes!$I$5:$I$204,"Solape: revisar"))</x:f>
      </x:c>
      <x:c r="H33" s="8" t="str">
        <x:f>IF(COUNTA(A33:C33)=0,"",IF(OR(A33="",B33="",NOT(ISNUMBER(C33))),"Revisar datos",IF(OR(C33&lt;0,C33&lt;&gt;INT(C33),COUNTIF($A$9:$A$38,A33)&lt;&gt;1),"Revisar cupo o ID","OK")))</x:f>
      </x:c>
    </x:row>
    <x:row r="34" ht="25" customHeight="1">
      <x:c r="A34" s="7"/>
      <x:c r="B34" s="7"/>
      <x:c r="C34" s="9"/>
      <x:c r="D34" s="10" t="str">
        <x:f>IF(H34&lt;&gt;"OK","",IF(OR(G34&gt;0,Configuracion!$B$7&lt;&gt;"OK"),"Revisar",SUMIFS(Solicitudes!$H$5:$H$204,Solicitudes!$A$5:$A$204,A34,Solicitudes!$D$5:$D$204,"Aprobada",Solicitudes!$G$5:$G$204,"OK")))</x:f>
      </x:c>
      <x:c r="E34" s="10" t="str">
        <x:f>IF(H34&lt;&gt;"OK","",IF(OR(G34&gt;0,Configuracion!$B$7&lt;&gt;"OK"),"Revisar",SUMIFS(Solicitudes!$H$5:$H$204,Solicitudes!$A$5:$A$204,A34,Solicitudes!$D$5:$D$204,"Pendiente",Solicitudes!$G$5:$G$204,"OK")))</x:f>
      </x:c>
      <x:c r="F34" s="10" t="str">
        <x:f>IF(H34&lt;&gt;"OK","",IF(ISNUMBER(D34),C34-D34,"Revisar"))</x:f>
      </x:c>
      <x:c r="G34" s="10" t="str">
        <x:f>IF(A34="","",COUNTIFS(Solicitudes!$A$5:$A$204,A34,Solicitudes!$G$5:$G$204,"&lt;&gt;OK")+COUNTIFS(Solicitudes!$A$5:$A$204,A34,Solicitudes!$I$5:$I$204,"Solape: revisar"))</x:f>
      </x:c>
      <x:c r="H34" s="8" t="str">
        <x:f>IF(COUNTA(A34:C34)=0,"",IF(OR(A34="",B34="",NOT(ISNUMBER(C34))),"Revisar datos",IF(OR(C34&lt;0,C34&lt;&gt;INT(C34),COUNTIF($A$9:$A$38,A34)&lt;&gt;1),"Revisar cupo o ID","OK")))</x:f>
      </x:c>
    </x:row>
    <x:row r="35" ht="25" customHeight="1">
      <x:c r="A35" s="7"/>
      <x:c r="B35" s="7"/>
      <x:c r="C35" s="9"/>
      <x:c r="D35" s="10" t="str">
        <x:f>IF(H35&lt;&gt;"OK","",IF(OR(G35&gt;0,Configuracion!$B$7&lt;&gt;"OK"),"Revisar",SUMIFS(Solicitudes!$H$5:$H$204,Solicitudes!$A$5:$A$204,A35,Solicitudes!$D$5:$D$204,"Aprobada",Solicitudes!$G$5:$G$204,"OK")))</x:f>
      </x:c>
      <x:c r="E35" s="10" t="str">
        <x:f>IF(H35&lt;&gt;"OK","",IF(OR(G35&gt;0,Configuracion!$B$7&lt;&gt;"OK"),"Revisar",SUMIFS(Solicitudes!$H$5:$H$204,Solicitudes!$A$5:$A$204,A35,Solicitudes!$D$5:$D$204,"Pendiente",Solicitudes!$G$5:$G$204,"OK")))</x:f>
      </x:c>
      <x:c r="F35" s="10" t="str">
        <x:f>IF(H35&lt;&gt;"OK","",IF(ISNUMBER(D35),C35-D35,"Revisar"))</x:f>
      </x:c>
      <x:c r="G35" s="10" t="str">
        <x:f>IF(A35="","",COUNTIFS(Solicitudes!$A$5:$A$204,A35,Solicitudes!$G$5:$G$204,"&lt;&gt;OK")+COUNTIFS(Solicitudes!$A$5:$A$204,A35,Solicitudes!$I$5:$I$204,"Solape: revisar"))</x:f>
      </x:c>
      <x:c r="H35" s="8" t="str">
        <x:f>IF(COUNTA(A35:C35)=0,"",IF(OR(A35="",B35="",NOT(ISNUMBER(C35))),"Revisar datos",IF(OR(C35&lt;0,C35&lt;&gt;INT(C35),COUNTIF($A$9:$A$38,A35)&lt;&gt;1),"Revisar cupo o ID","OK")))</x:f>
      </x:c>
    </x:row>
    <x:row r="36" ht="25" customHeight="1">
      <x:c r="A36" s="7"/>
      <x:c r="B36" s="7"/>
      <x:c r="C36" s="9"/>
      <x:c r="D36" s="10" t="str">
        <x:f>IF(H36&lt;&gt;"OK","",IF(OR(G36&gt;0,Configuracion!$B$7&lt;&gt;"OK"),"Revisar",SUMIFS(Solicitudes!$H$5:$H$204,Solicitudes!$A$5:$A$204,A36,Solicitudes!$D$5:$D$204,"Aprobada",Solicitudes!$G$5:$G$204,"OK")))</x:f>
      </x:c>
      <x:c r="E36" s="10" t="str">
        <x:f>IF(H36&lt;&gt;"OK","",IF(OR(G36&gt;0,Configuracion!$B$7&lt;&gt;"OK"),"Revisar",SUMIFS(Solicitudes!$H$5:$H$204,Solicitudes!$A$5:$A$204,A36,Solicitudes!$D$5:$D$204,"Pendiente",Solicitudes!$G$5:$G$204,"OK")))</x:f>
      </x:c>
      <x:c r="F36" s="10" t="str">
        <x:f>IF(H36&lt;&gt;"OK","",IF(ISNUMBER(D36),C36-D36,"Revisar"))</x:f>
      </x:c>
      <x:c r="G36" s="10" t="str">
        <x:f>IF(A36="","",COUNTIFS(Solicitudes!$A$5:$A$204,A36,Solicitudes!$G$5:$G$204,"&lt;&gt;OK")+COUNTIFS(Solicitudes!$A$5:$A$204,A36,Solicitudes!$I$5:$I$204,"Solape: revisar"))</x:f>
      </x:c>
      <x:c r="H36" s="8" t="str">
        <x:f>IF(COUNTA(A36:C36)=0,"",IF(OR(A36="",B36="",NOT(ISNUMBER(C36))),"Revisar datos",IF(OR(C36&lt;0,C36&lt;&gt;INT(C36),COUNTIF($A$9:$A$38,A36)&lt;&gt;1),"Revisar cupo o ID","OK")))</x:f>
      </x:c>
    </x:row>
    <x:row r="37" ht="25" customHeight="1">
      <x:c r="A37" s="7"/>
      <x:c r="B37" s="7"/>
      <x:c r="C37" s="9"/>
      <x:c r="D37" s="10" t="str">
        <x:f>IF(H37&lt;&gt;"OK","",IF(OR(G37&gt;0,Configuracion!$B$7&lt;&gt;"OK"),"Revisar",SUMIFS(Solicitudes!$H$5:$H$204,Solicitudes!$A$5:$A$204,A37,Solicitudes!$D$5:$D$204,"Aprobada",Solicitudes!$G$5:$G$204,"OK")))</x:f>
      </x:c>
      <x:c r="E37" s="10" t="str">
        <x:f>IF(H37&lt;&gt;"OK","",IF(OR(G37&gt;0,Configuracion!$B$7&lt;&gt;"OK"),"Revisar",SUMIFS(Solicitudes!$H$5:$H$204,Solicitudes!$A$5:$A$204,A37,Solicitudes!$D$5:$D$204,"Pendiente",Solicitudes!$G$5:$G$204,"OK")))</x:f>
      </x:c>
      <x:c r="F37" s="10" t="str">
        <x:f>IF(H37&lt;&gt;"OK","",IF(ISNUMBER(D37),C37-D37,"Revisar"))</x:f>
      </x:c>
      <x:c r="G37" s="10" t="str">
        <x:f>IF(A37="","",COUNTIFS(Solicitudes!$A$5:$A$204,A37,Solicitudes!$G$5:$G$204,"&lt;&gt;OK")+COUNTIFS(Solicitudes!$A$5:$A$204,A37,Solicitudes!$I$5:$I$204,"Solape: revisar"))</x:f>
      </x:c>
      <x:c r="H37" s="8" t="str">
        <x:f>IF(COUNTA(A37:C37)=0,"",IF(OR(A37="",B37="",NOT(ISNUMBER(C37))),"Revisar datos",IF(OR(C37&lt;0,C37&lt;&gt;INT(C37),COUNTIF($A$9:$A$38,A37)&lt;&gt;1),"Revisar cupo o ID","OK")))</x:f>
      </x:c>
    </x:row>
    <x:row r="38" ht="25" customHeight="1">
      <x:c r="A38" s="7"/>
      <x:c r="B38" s="7"/>
      <x:c r="C38" s="9"/>
      <x:c r="D38" s="10" t="str">
        <x:f>IF(H38&lt;&gt;"OK","",IF(OR(G38&gt;0,Configuracion!$B$7&lt;&gt;"OK"),"Revisar",SUMIFS(Solicitudes!$H$5:$H$204,Solicitudes!$A$5:$A$204,A38,Solicitudes!$D$5:$D$204,"Aprobada",Solicitudes!$G$5:$G$204,"OK")))</x:f>
      </x:c>
      <x:c r="E38" s="10" t="str">
        <x:f>IF(H38&lt;&gt;"OK","",IF(OR(G38&gt;0,Configuracion!$B$7&lt;&gt;"OK"),"Revisar",SUMIFS(Solicitudes!$H$5:$H$204,Solicitudes!$A$5:$A$204,A38,Solicitudes!$D$5:$D$204,"Pendiente",Solicitudes!$G$5:$G$204,"OK")))</x:f>
      </x:c>
      <x:c r="F38" s="10" t="str">
        <x:f>IF(H38&lt;&gt;"OK","",IF(ISNUMBER(D38),C38-D38,"Revisar"))</x:f>
      </x:c>
      <x:c r="G38" s="10" t="str">
        <x:f>IF(A38="","",COUNTIFS(Solicitudes!$A$5:$A$204,A38,Solicitudes!$G$5:$G$204,"&lt;&gt;OK")+COUNTIFS(Solicitudes!$A$5:$A$204,A38,Solicitudes!$I$5:$I$204,"Solape: revisar"))</x:f>
      </x:c>
      <x:c r="H38" s="8" t="str">
        <x:f>IF(COUNTA(A38:C38)=0,"",IF(OR(A38="",B38="",NOT(ISNUMBER(C38))),"Revisar datos",IF(OR(C38&lt;0,C38&lt;&gt;INT(C38),COUNTIF($A$9:$A$38,A38)&lt;&gt;1),"Revisar cupo o ID","OK")))</x:f>
      </x:c>
    </x:row>
  </x:sheetData>
  <x:conditionalFormatting sqref="F9:F38">
    <x:cfRule type="cellIs" dxfId="0" priority="1" operator="lessThan">
      <x:formula>0</x:formula>
    </x:cfRule>
  </x:conditionalFormatting>
  <x:conditionalFormatting sqref="G9:H38">
    <x:cfRule type="containsText" dxfId="3" priority="2" operator="containsText" text="Revisar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22" hidden="0" customWidth="1"/>
    <x:col min="4" max="4" width="22" hidden="0" customWidth="1"/>
    <x:col min="5" max="5" width="28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Calendario mensual por empleado</x:v>
      </x:c>
      <x:c r="B2" s="2"/>
      <x:c r="C2" s="2"/>
      <x:c r="D2" s="2"/>
      <x:c r="E2" s="2"/>
    </x:row>
    <x:row r="3" ht="25" customHeight="1">
      <x:c r="A3" s="2"/>
      <x:c r="B3" s="2"/>
      <x:c r="C3" s="2"/>
      <x:c r="D3" s="2"/>
      <x:c r="E3" s="2"/>
    </x:row>
    <x:row r="4" ht="25" customHeight="1">
      <x:c r="A4" s="2" t="str">
        <x:v>Mes (1-12)</x:v>
      </x:c>
      <x:c r="B4" s="7" t="n">
        <x:v>2</x:v>
      </x:c>
      <x:c r="C4" s="2"/>
      <x:c r="D4" s="2"/>
      <x:c r="E4" s="2"/>
    </x:row>
    <x:row r="5" ht="25" customHeight="1">
      <x:c r="A5" s="2" t="str">
        <x:v>ID empleado</x:v>
      </x:c>
      <x:c r="B5" s="7" t="str">
        <x:v>EMP-01</x:v>
      </x:c>
      <x:c r="C5" s="2"/>
      <x:c r="D5" s="2"/>
      <x:c r="E5" s="2"/>
    </x:row>
    <x:row r="6" ht="25" customHeight="1">
      <x:c r="A6" s="2"/>
      <x:c r="B6" s="2"/>
      <x:c r="C6" s="2"/>
      <x:c r="D6" s="2"/>
      <x:c r="E6" s="2"/>
    </x:row>
    <x:row r="7" ht="25" customHeight="1">
      <x:c r="A7" s="2"/>
      <x:c r="B7" s="2"/>
      <x:c r="C7" s="2"/>
      <x:c r="D7" s="2"/>
      <x:c r="E7" s="2"/>
    </x:row>
    <x:row r="8" ht="42" customHeight="1">
      <x:c r="A8" s="6" t="str">
        <x:v>Fecha</x:v>
      </x:c>
      <x:c r="B8" s="6" t="str">
        <x:v>Computable</x:v>
      </x:c>
      <x:c r="C8" s="6" t="str">
        <x:v>Aprobadas</x:v>
      </x:c>
      <x:c r="D8" s="6" t="str">
        <x:v>Pendientes</x:v>
      </x:c>
      <x:c r="E8" s="6" t="str">
        <x:v>Revisión</x:v>
      </x:c>
    </x:row>
    <x:row r="9" ht="25" customHeight="1">
      <x:c r="A9" s="12" t="n">
        <x:f>IF(E9&lt;&gt;"OK","",IF(MONTH(DATE(Configuracion!$B$4,$B$4,1)+0)=$B$4,DATE(Configuracion!$B$4,$B$4,1)+0,""))</x:f>
        <x:v>46419</x:v>
      </x:c>
      <x:c r="B9" s="2" t="n">
        <x:f>IF(A9="","",SUMIF(Configuracion!$A$10:$A$375,A9,Configuracion!$C$10:$C$375))</x:f>
        <x:v>1</x:v>
      </x:c>
      <x:c r="C9" s="2" t="n">
        <x:f>IF(A9="","",COUNTIFS(Solicitudes!$A$5:$A$204,$B$5,Solicitudes!$B$5:$B$204,"&lt;="&amp;A9,Solicitudes!$C$5:$C$204,"&gt;="&amp;A9,Solicitudes!$D$5:$D$204,"Aprobada",Solicitudes!$G$5:$G$204,"OK"))</x:f>
        <x:v>1</x:v>
      </x:c>
      <x:c r="D9" s="2" t="n">
        <x:f>IF(A9="","",COUNTIFS(Solicitudes!$A$5:$A$204,$B$5,Solicitudes!$B$5:$B$204,"&lt;="&amp;A9,Solicitudes!$C$5:$C$204,"&gt;="&amp;A9,Solicitudes!$D$5:$D$204,"Pendiente",Solicitudes!$G$5:$G$204,"OK"))</x:f>
        <x:v>0</x:v>
      </x:c>
      <x:c r="E9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10" ht="25" customHeight="1">
      <x:c r="A10" s="12" t="n">
        <x:f>IF(E10&lt;&gt;"OK","",IF(MONTH(DATE(Configuracion!$B$4,$B$4,1)+1)=$B$4,DATE(Configuracion!$B$4,$B$4,1)+1,""))</x:f>
        <x:v>46420</x:v>
      </x:c>
      <x:c r="B10" s="2" t="n">
        <x:f>IF(A10="","",SUMIF(Configuracion!$A$10:$A$375,A10,Configuracion!$C$10:$C$375))</x:f>
        <x:v>1</x:v>
      </x:c>
      <x:c r="C10" s="2" t="n">
        <x:f>IF(A10="","",COUNTIFS(Solicitudes!$A$5:$A$204,$B$5,Solicitudes!$B$5:$B$204,"&lt;="&amp;A10,Solicitudes!$C$5:$C$204,"&gt;="&amp;A10,Solicitudes!$D$5:$D$204,"Aprobada",Solicitudes!$G$5:$G$204,"OK"))</x:f>
        <x:v>1</x:v>
      </x:c>
      <x:c r="D10" s="2" t="n">
        <x:f>IF(A10="","",COUNTIFS(Solicitudes!$A$5:$A$204,$B$5,Solicitudes!$B$5:$B$204,"&lt;="&amp;A10,Solicitudes!$C$5:$C$204,"&gt;="&amp;A10,Solicitudes!$D$5:$D$204,"Pendiente",Solicitudes!$G$5:$G$204,"OK"))</x:f>
        <x:v>0</x:v>
      </x:c>
      <x:c r="E10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11" ht="25" customHeight="1">
      <x:c r="A11" s="12" t="n">
        <x:f>IF(E11&lt;&gt;"OK","",IF(MONTH(DATE(Configuracion!$B$4,$B$4,1)+2)=$B$4,DATE(Configuracion!$B$4,$B$4,1)+2,""))</x:f>
        <x:v>46421</x:v>
      </x:c>
      <x:c r="B11" s="2" t="n">
        <x:f>IF(A11="","",SUMIF(Configuracion!$A$10:$A$375,A11,Configuracion!$C$10:$C$375))</x:f>
        <x:v>0</x:v>
      </x:c>
      <x:c r="C11" s="2" t="n">
        <x:f>IF(A11="","",COUNTIFS(Solicitudes!$A$5:$A$204,$B$5,Solicitudes!$B$5:$B$204,"&lt;="&amp;A11,Solicitudes!$C$5:$C$204,"&gt;="&amp;A11,Solicitudes!$D$5:$D$204,"Aprobada",Solicitudes!$G$5:$G$204,"OK"))</x:f>
        <x:v>1</x:v>
      </x:c>
      <x:c r="D11" s="2" t="n">
        <x:f>IF(A11="","",COUNTIFS(Solicitudes!$A$5:$A$204,$B$5,Solicitudes!$B$5:$B$204,"&lt;="&amp;A11,Solicitudes!$C$5:$C$204,"&gt;="&amp;A11,Solicitudes!$D$5:$D$204,"Pendiente",Solicitudes!$G$5:$G$204,"OK"))</x:f>
        <x:v>0</x:v>
      </x:c>
      <x:c r="E11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12" ht="25" customHeight="1">
      <x:c r="A12" s="12" t="n">
        <x:f>IF(E12&lt;&gt;"OK","",IF(MONTH(DATE(Configuracion!$B$4,$B$4,1)+3)=$B$4,DATE(Configuracion!$B$4,$B$4,1)+3,""))</x:f>
        <x:v>46422</x:v>
      </x:c>
      <x:c r="B12" s="2" t="n">
        <x:f>IF(A12="","",SUMIF(Configuracion!$A$10:$A$375,A12,Configuracion!$C$10:$C$375))</x:f>
        <x:v>1</x:v>
      </x:c>
      <x:c r="C12" s="2" t="n">
        <x:f>IF(A12="","",COUNTIFS(Solicitudes!$A$5:$A$204,$B$5,Solicitudes!$B$5:$B$204,"&lt;="&amp;A12,Solicitudes!$C$5:$C$204,"&gt;="&amp;A12,Solicitudes!$D$5:$D$204,"Aprobada",Solicitudes!$G$5:$G$204,"OK"))</x:f>
        <x:v>1</x:v>
      </x:c>
      <x:c r="D12" s="2" t="n">
        <x:f>IF(A12="","",COUNTIFS(Solicitudes!$A$5:$A$204,$B$5,Solicitudes!$B$5:$B$204,"&lt;="&amp;A12,Solicitudes!$C$5:$C$204,"&gt;="&amp;A12,Solicitudes!$D$5:$D$204,"Pendiente",Solicitudes!$G$5:$G$204,"OK"))</x:f>
        <x:v>0</x:v>
      </x:c>
      <x:c r="E12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13" ht="25" customHeight="1">
      <x:c r="A13" s="12" t="n">
        <x:f>IF(E13&lt;&gt;"OK","",IF(MONTH(DATE(Configuracion!$B$4,$B$4,1)+4)=$B$4,DATE(Configuracion!$B$4,$B$4,1)+4,""))</x:f>
        <x:v>46423</x:v>
      </x:c>
      <x:c r="B13" s="2" t="n">
        <x:f>IF(A13="","",SUMIF(Configuracion!$A$10:$A$375,A13,Configuracion!$C$10:$C$375))</x:f>
        <x:v>1</x:v>
      </x:c>
      <x:c r="C13" s="2" t="n">
        <x:f>IF(A13="","",COUNTIFS(Solicitudes!$A$5:$A$204,$B$5,Solicitudes!$B$5:$B$204,"&lt;="&amp;A13,Solicitudes!$C$5:$C$204,"&gt;="&amp;A13,Solicitudes!$D$5:$D$204,"Aprobada",Solicitudes!$G$5:$G$204,"OK"))</x:f>
        <x:v>1</x:v>
      </x:c>
      <x:c r="D13" s="2" t="n">
        <x:f>IF(A13="","",COUNTIFS(Solicitudes!$A$5:$A$204,$B$5,Solicitudes!$B$5:$B$204,"&lt;="&amp;A13,Solicitudes!$C$5:$C$204,"&gt;="&amp;A13,Solicitudes!$D$5:$D$204,"Pendiente",Solicitudes!$G$5:$G$204,"OK"))</x:f>
        <x:v>0</x:v>
      </x:c>
      <x:c r="E13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14" ht="25" customHeight="1">
      <x:c r="A14" s="12" t="n">
        <x:f>IF(E14&lt;&gt;"OK","",IF(MONTH(DATE(Configuracion!$B$4,$B$4,1)+5)=$B$4,DATE(Configuracion!$B$4,$B$4,1)+5,""))</x:f>
        <x:v>46424</x:v>
      </x:c>
      <x:c r="B14" s="2" t="n">
        <x:f>IF(A14="","",SUMIF(Configuracion!$A$10:$A$375,A14,Configuracion!$C$10:$C$375))</x:f>
        <x:v>0</x:v>
      </x:c>
      <x:c r="C14" s="2" t="n">
        <x:f>IF(A14="","",COUNTIFS(Solicitudes!$A$5:$A$204,$B$5,Solicitudes!$B$5:$B$204,"&lt;="&amp;A14,Solicitudes!$C$5:$C$204,"&gt;="&amp;A14,Solicitudes!$D$5:$D$204,"Aprobada",Solicitudes!$G$5:$G$204,"OK"))</x:f>
        <x:v>0</x:v>
      </x:c>
      <x:c r="D14" s="2" t="n">
        <x:f>IF(A14="","",COUNTIFS(Solicitudes!$A$5:$A$204,$B$5,Solicitudes!$B$5:$B$204,"&lt;="&amp;A14,Solicitudes!$C$5:$C$204,"&gt;="&amp;A14,Solicitudes!$D$5:$D$204,"Pendiente",Solicitudes!$G$5:$G$204,"OK"))</x:f>
        <x:v>0</x:v>
      </x:c>
      <x:c r="E14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15" ht="25" customHeight="1">
      <x:c r="A15" s="12" t="n">
        <x:f>IF(E15&lt;&gt;"OK","",IF(MONTH(DATE(Configuracion!$B$4,$B$4,1)+6)=$B$4,DATE(Configuracion!$B$4,$B$4,1)+6,""))</x:f>
        <x:v>46425</x:v>
      </x:c>
      <x:c r="B15" s="2" t="n">
        <x:f>IF(A15="","",SUMIF(Configuracion!$A$10:$A$375,A15,Configuracion!$C$10:$C$375))</x:f>
        <x:v>0</x:v>
      </x:c>
      <x:c r="C15" s="2" t="n">
        <x:f>IF(A15="","",COUNTIFS(Solicitudes!$A$5:$A$204,$B$5,Solicitudes!$B$5:$B$204,"&lt;="&amp;A15,Solicitudes!$C$5:$C$204,"&gt;="&amp;A15,Solicitudes!$D$5:$D$204,"Aprobada",Solicitudes!$G$5:$G$204,"OK"))</x:f>
        <x:v>0</x:v>
      </x:c>
      <x:c r="D15" s="2" t="n">
        <x:f>IF(A15="","",COUNTIFS(Solicitudes!$A$5:$A$204,$B$5,Solicitudes!$B$5:$B$204,"&lt;="&amp;A15,Solicitudes!$C$5:$C$204,"&gt;="&amp;A15,Solicitudes!$D$5:$D$204,"Pendiente",Solicitudes!$G$5:$G$204,"OK"))</x:f>
        <x:v>0</x:v>
      </x:c>
      <x:c r="E15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16" ht="25" customHeight="1">
      <x:c r="A16" s="12" t="n">
        <x:f>IF(E16&lt;&gt;"OK","",IF(MONTH(DATE(Configuracion!$B$4,$B$4,1)+7)=$B$4,DATE(Configuracion!$B$4,$B$4,1)+7,""))</x:f>
        <x:v>46426</x:v>
      </x:c>
      <x:c r="B16" s="2" t="n">
        <x:f>IF(A16="","",SUMIF(Configuracion!$A$10:$A$375,A16,Configuracion!$C$10:$C$375))</x:f>
        <x:v>1</x:v>
      </x:c>
      <x:c r="C16" s="2" t="n">
        <x:f>IF(A16="","",COUNTIFS(Solicitudes!$A$5:$A$204,$B$5,Solicitudes!$B$5:$B$204,"&lt;="&amp;A16,Solicitudes!$C$5:$C$204,"&gt;="&amp;A16,Solicitudes!$D$5:$D$204,"Aprobada",Solicitudes!$G$5:$G$204,"OK"))</x:f>
        <x:v>0</x:v>
      </x:c>
      <x:c r="D16" s="2" t="n">
        <x:f>IF(A16="","",COUNTIFS(Solicitudes!$A$5:$A$204,$B$5,Solicitudes!$B$5:$B$204,"&lt;="&amp;A16,Solicitudes!$C$5:$C$204,"&gt;="&amp;A16,Solicitudes!$D$5:$D$204,"Pendiente",Solicitudes!$G$5:$G$204,"OK"))</x:f>
        <x:v>1</x:v>
      </x:c>
      <x:c r="E16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17" ht="25" customHeight="1">
      <x:c r="A17" s="12" t="n">
        <x:f>IF(E17&lt;&gt;"OK","",IF(MONTH(DATE(Configuracion!$B$4,$B$4,1)+8)=$B$4,DATE(Configuracion!$B$4,$B$4,1)+8,""))</x:f>
        <x:v>46427</x:v>
      </x:c>
      <x:c r="B17" s="2" t="n">
        <x:f>IF(A17="","",SUMIF(Configuracion!$A$10:$A$375,A17,Configuracion!$C$10:$C$375))</x:f>
        <x:v>1</x:v>
      </x:c>
      <x:c r="C17" s="2" t="n">
        <x:f>IF(A17="","",COUNTIFS(Solicitudes!$A$5:$A$204,$B$5,Solicitudes!$B$5:$B$204,"&lt;="&amp;A17,Solicitudes!$C$5:$C$204,"&gt;="&amp;A17,Solicitudes!$D$5:$D$204,"Aprobada",Solicitudes!$G$5:$G$204,"OK"))</x:f>
        <x:v>0</x:v>
      </x:c>
      <x:c r="D17" s="2" t="n">
        <x:f>IF(A17="","",COUNTIFS(Solicitudes!$A$5:$A$204,$B$5,Solicitudes!$B$5:$B$204,"&lt;="&amp;A17,Solicitudes!$C$5:$C$204,"&gt;="&amp;A17,Solicitudes!$D$5:$D$204,"Pendiente",Solicitudes!$G$5:$G$204,"OK"))</x:f>
        <x:v>1</x:v>
      </x:c>
      <x:c r="E17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18" ht="25" customHeight="1">
      <x:c r="A18" s="12" t="n">
        <x:f>IF(E18&lt;&gt;"OK","",IF(MONTH(DATE(Configuracion!$B$4,$B$4,1)+9)=$B$4,DATE(Configuracion!$B$4,$B$4,1)+9,""))</x:f>
        <x:v>46428</x:v>
      </x:c>
      <x:c r="B18" s="2" t="n">
        <x:f>IF(A18="","",SUMIF(Configuracion!$A$10:$A$375,A18,Configuracion!$C$10:$C$375))</x:f>
        <x:v>1</x:v>
      </x:c>
      <x:c r="C18" s="2" t="n">
        <x:f>IF(A18="","",COUNTIFS(Solicitudes!$A$5:$A$204,$B$5,Solicitudes!$B$5:$B$204,"&lt;="&amp;A18,Solicitudes!$C$5:$C$204,"&gt;="&amp;A18,Solicitudes!$D$5:$D$204,"Aprobada",Solicitudes!$G$5:$G$204,"OK"))</x:f>
        <x:v>0</x:v>
      </x:c>
      <x:c r="D18" s="2" t="n">
        <x:f>IF(A18="","",COUNTIFS(Solicitudes!$A$5:$A$204,$B$5,Solicitudes!$B$5:$B$204,"&lt;="&amp;A18,Solicitudes!$C$5:$C$204,"&gt;="&amp;A18,Solicitudes!$D$5:$D$204,"Pendiente",Solicitudes!$G$5:$G$204,"OK"))</x:f>
        <x:v>0</x:v>
      </x:c>
      <x:c r="E18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19" ht="25" customHeight="1">
      <x:c r="A19" s="12" t="n">
        <x:f>IF(E19&lt;&gt;"OK","",IF(MONTH(DATE(Configuracion!$B$4,$B$4,1)+10)=$B$4,DATE(Configuracion!$B$4,$B$4,1)+10,""))</x:f>
        <x:v>46429</x:v>
      </x:c>
      <x:c r="B19" s="2" t="n">
        <x:f>IF(A19="","",SUMIF(Configuracion!$A$10:$A$375,A19,Configuracion!$C$10:$C$375))</x:f>
        <x:v>1</x:v>
      </x:c>
      <x:c r="C19" s="2" t="n">
        <x:f>IF(A19="","",COUNTIFS(Solicitudes!$A$5:$A$204,$B$5,Solicitudes!$B$5:$B$204,"&lt;="&amp;A19,Solicitudes!$C$5:$C$204,"&gt;="&amp;A19,Solicitudes!$D$5:$D$204,"Aprobada",Solicitudes!$G$5:$G$204,"OK"))</x:f>
        <x:v>0</x:v>
      </x:c>
      <x:c r="D19" s="2" t="n">
        <x:f>IF(A19="","",COUNTIFS(Solicitudes!$A$5:$A$204,$B$5,Solicitudes!$B$5:$B$204,"&lt;="&amp;A19,Solicitudes!$C$5:$C$204,"&gt;="&amp;A19,Solicitudes!$D$5:$D$204,"Pendiente",Solicitudes!$G$5:$G$204,"OK"))</x:f>
        <x:v>0</x:v>
      </x:c>
      <x:c r="E19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20" ht="25" customHeight="1">
      <x:c r="A20" s="12" t="n">
        <x:f>IF(E20&lt;&gt;"OK","",IF(MONTH(DATE(Configuracion!$B$4,$B$4,1)+11)=$B$4,DATE(Configuracion!$B$4,$B$4,1)+11,""))</x:f>
        <x:v>46430</x:v>
      </x:c>
      <x:c r="B20" s="2" t="n">
        <x:f>IF(A20="","",SUMIF(Configuracion!$A$10:$A$375,A20,Configuracion!$C$10:$C$375))</x:f>
        <x:v>1</x:v>
      </x:c>
      <x:c r="C20" s="2" t="n">
        <x:f>IF(A20="","",COUNTIFS(Solicitudes!$A$5:$A$204,$B$5,Solicitudes!$B$5:$B$204,"&lt;="&amp;A20,Solicitudes!$C$5:$C$204,"&gt;="&amp;A20,Solicitudes!$D$5:$D$204,"Aprobada",Solicitudes!$G$5:$G$204,"OK"))</x:f>
        <x:v>0</x:v>
      </x:c>
      <x:c r="D20" s="2" t="n">
        <x:f>IF(A20="","",COUNTIFS(Solicitudes!$A$5:$A$204,$B$5,Solicitudes!$B$5:$B$204,"&lt;="&amp;A20,Solicitudes!$C$5:$C$204,"&gt;="&amp;A20,Solicitudes!$D$5:$D$204,"Pendiente",Solicitudes!$G$5:$G$204,"OK"))</x:f>
        <x:v>0</x:v>
      </x:c>
      <x:c r="E20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21" ht="25" customHeight="1">
      <x:c r="A21" s="12" t="n">
        <x:f>IF(E21&lt;&gt;"OK","",IF(MONTH(DATE(Configuracion!$B$4,$B$4,1)+12)=$B$4,DATE(Configuracion!$B$4,$B$4,1)+12,""))</x:f>
        <x:v>46431</x:v>
      </x:c>
      <x:c r="B21" s="2" t="n">
        <x:f>IF(A21="","",SUMIF(Configuracion!$A$10:$A$375,A21,Configuracion!$C$10:$C$375))</x:f>
        <x:v>0</x:v>
      </x:c>
      <x:c r="C21" s="2" t="n">
        <x:f>IF(A21="","",COUNTIFS(Solicitudes!$A$5:$A$204,$B$5,Solicitudes!$B$5:$B$204,"&lt;="&amp;A21,Solicitudes!$C$5:$C$204,"&gt;="&amp;A21,Solicitudes!$D$5:$D$204,"Aprobada",Solicitudes!$G$5:$G$204,"OK"))</x:f>
        <x:v>0</x:v>
      </x:c>
      <x:c r="D21" s="2" t="n">
        <x:f>IF(A21="","",COUNTIFS(Solicitudes!$A$5:$A$204,$B$5,Solicitudes!$B$5:$B$204,"&lt;="&amp;A21,Solicitudes!$C$5:$C$204,"&gt;="&amp;A21,Solicitudes!$D$5:$D$204,"Pendiente",Solicitudes!$G$5:$G$204,"OK"))</x:f>
        <x:v>0</x:v>
      </x:c>
      <x:c r="E21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22" ht="25" customHeight="1">
      <x:c r="A22" s="12" t="n">
        <x:f>IF(E22&lt;&gt;"OK","",IF(MONTH(DATE(Configuracion!$B$4,$B$4,1)+13)=$B$4,DATE(Configuracion!$B$4,$B$4,1)+13,""))</x:f>
        <x:v>46432</x:v>
      </x:c>
      <x:c r="B22" s="2" t="n">
        <x:f>IF(A22="","",SUMIF(Configuracion!$A$10:$A$375,A22,Configuracion!$C$10:$C$375))</x:f>
        <x:v>0</x:v>
      </x:c>
      <x:c r="C22" s="2" t="n">
        <x:f>IF(A22="","",COUNTIFS(Solicitudes!$A$5:$A$204,$B$5,Solicitudes!$B$5:$B$204,"&lt;="&amp;A22,Solicitudes!$C$5:$C$204,"&gt;="&amp;A22,Solicitudes!$D$5:$D$204,"Aprobada",Solicitudes!$G$5:$G$204,"OK"))</x:f>
        <x:v>0</x:v>
      </x:c>
      <x:c r="D22" s="2" t="n">
        <x:f>IF(A22="","",COUNTIFS(Solicitudes!$A$5:$A$204,$B$5,Solicitudes!$B$5:$B$204,"&lt;="&amp;A22,Solicitudes!$C$5:$C$204,"&gt;="&amp;A22,Solicitudes!$D$5:$D$204,"Pendiente",Solicitudes!$G$5:$G$204,"OK"))</x:f>
        <x:v>0</x:v>
      </x:c>
      <x:c r="E22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23" ht="25" customHeight="1">
      <x:c r="A23" s="12" t="n">
        <x:f>IF(E23&lt;&gt;"OK","",IF(MONTH(DATE(Configuracion!$B$4,$B$4,1)+14)=$B$4,DATE(Configuracion!$B$4,$B$4,1)+14,""))</x:f>
        <x:v>46433</x:v>
      </x:c>
      <x:c r="B23" s="2" t="n">
        <x:f>IF(A23="","",SUMIF(Configuracion!$A$10:$A$375,A23,Configuracion!$C$10:$C$375))</x:f>
        <x:v>1</x:v>
      </x:c>
      <x:c r="C23" s="2" t="n">
        <x:f>IF(A23="","",COUNTIFS(Solicitudes!$A$5:$A$204,$B$5,Solicitudes!$B$5:$B$204,"&lt;="&amp;A23,Solicitudes!$C$5:$C$204,"&gt;="&amp;A23,Solicitudes!$D$5:$D$204,"Aprobada",Solicitudes!$G$5:$G$204,"OK"))</x:f>
        <x:v>0</x:v>
      </x:c>
      <x:c r="D23" s="2" t="n">
        <x:f>IF(A23="","",COUNTIFS(Solicitudes!$A$5:$A$204,$B$5,Solicitudes!$B$5:$B$204,"&lt;="&amp;A23,Solicitudes!$C$5:$C$204,"&gt;="&amp;A23,Solicitudes!$D$5:$D$204,"Pendiente",Solicitudes!$G$5:$G$204,"OK"))</x:f>
        <x:v>0</x:v>
      </x:c>
      <x:c r="E23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24" ht="25" customHeight="1">
      <x:c r="A24" s="12" t="n">
        <x:f>IF(E24&lt;&gt;"OK","",IF(MONTH(DATE(Configuracion!$B$4,$B$4,1)+15)=$B$4,DATE(Configuracion!$B$4,$B$4,1)+15,""))</x:f>
        <x:v>46434</x:v>
      </x:c>
      <x:c r="B24" s="2" t="n">
        <x:f>IF(A24="","",SUMIF(Configuracion!$A$10:$A$375,A24,Configuracion!$C$10:$C$375))</x:f>
        <x:v>1</x:v>
      </x:c>
      <x:c r="C24" s="2" t="n">
        <x:f>IF(A24="","",COUNTIFS(Solicitudes!$A$5:$A$204,$B$5,Solicitudes!$B$5:$B$204,"&lt;="&amp;A24,Solicitudes!$C$5:$C$204,"&gt;="&amp;A24,Solicitudes!$D$5:$D$204,"Aprobada",Solicitudes!$G$5:$G$204,"OK"))</x:f>
        <x:v>0</x:v>
      </x:c>
      <x:c r="D24" s="2" t="n">
        <x:f>IF(A24="","",COUNTIFS(Solicitudes!$A$5:$A$204,$B$5,Solicitudes!$B$5:$B$204,"&lt;="&amp;A24,Solicitudes!$C$5:$C$204,"&gt;="&amp;A24,Solicitudes!$D$5:$D$204,"Pendiente",Solicitudes!$G$5:$G$204,"OK"))</x:f>
        <x:v>0</x:v>
      </x:c>
      <x:c r="E24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25" ht="25" customHeight="1">
      <x:c r="A25" s="12" t="n">
        <x:f>IF(E25&lt;&gt;"OK","",IF(MONTH(DATE(Configuracion!$B$4,$B$4,1)+16)=$B$4,DATE(Configuracion!$B$4,$B$4,1)+16,""))</x:f>
        <x:v>46435</x:v>
      </x:c>
      <x:c r="B25" s="2" t="n">
        <x:f>IF(A25="","",SUMIF(Configuracion!$A$10:$A$375,A25,Configuracion!$C$10:$C$375))</x:f>
        <x:v>1</x:v>
      </x:c>
      <x:c r="C25" s="2" t="n">
        <x:f>IF(A25="","",COUNTIFS(Solicitudes!$A$5:$A$204,$B$5,Solicitudes!$B$5:$B$204,"&lt;="&amp;A25,Solicitudes!$C$5:$C$204,"&gt;="&amp;A25,Solicitudes!$D$5:$D$204,"Aprobada",Solicitudes!$G$5:$G$204,"OK"))</x:f>
        <x:v>0</x:v>
      </x:c>
      <x:c r="D25" s="2" t="n">
        <x:f>IF(A25="","",COUNTIFS(Solicitudes!$A$5:$A$204,$B$5,Solicitudes!$B$5:$B$204,"&lt;="&amp;A25,Solicitudes!$C$5:$C$204,"&gt;="&amp;A25,Solicitudes!$D$5:$D$204,"Pendiente",Solicitudes!$G$5:$G$204,"OK"))</x:f>
        <x:v>0</x:v>
      </x:c>
      <x:c r="E25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26" ht="25" customHeight="1">
      <x:c r="A26" s="12" t="n">
        <x:f>IF(E26&lt;&gt;"OK","",IF(MONTH(DATE(Configuracion!$B$4,$B$4,1)+17)=$B$4,DATE(Configuracion!$B$4,$B$4,1)+17,""))</x:f>
        <x:v>46436</x:v>
      </x:c>
      <x:c r="B26" s="2" t="n">
        <x:f>IF(A26="","",SUMIF(Configuracion!$A$10:$A$375,A26,Configuracion!$C$10:$C$375))</x:f>
        <x:v>1</x:v>
      </x:c>
      <x:c r="C26" s="2" t="n">
        <x:f>IF(A26="","",COUNTIFS(Solicitudes!$A$5:$A$204,$B$5,Solicitudes!$B$5:$B$204,"&lt;="&amp;A26,Solicitudes!$C$5:$C$204,"&gt;="&amp;A26,Solicitudes!$D$5:$D$204,"Aprobada",Solicitudes!$G$5:$G$204,"OK"))</x:f>
        <x:v>0</x:v>
      </x:c>
      <x:c r="D26" s="2" t="n">
        <x:f>IF(A26="","",COUNTIFS(Solicitudes!$A$5:$A$204,$B$5,Solicitudes!$B$5:$B$204,"&lt;="&amp;A26,Solicitudes!$C$5:$C$204,"&gt;="&amp;A26,Solicitudes!$D$5:$D$204,"Pendiente",Solicitudes!$G$5:$G$204,"OK"))</x:f>
        <x:v>0</x:v>
      </x:c>
      <x:c r="E26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27" ht="25" customHeight="1">
      <x:c r="A27" s="12" t="n">
        <x:f>IF(E27&lt;&gt;"OK","",IF(MONTH(DATE(Configuracion!$B$4,$B$4,1)+18)=$B$4,DATE(Configuracion!$B$4,$B$4,1)+18,""))</x:f>
        <x:v>46437</x:v>
      </x:c>
      <x:c r="B27" s="2" t="n">
        <x:f>IF(A27="","",SUMIF(Configuracion!$A$10:$A$375,A27,Configuracion!$C$10:$C$375))</x:f>
        <x:v>1</x:v>
      </x:c>
      <x:c r="C27" s="2" t="n">
        <x:f>IF(A27="","",COUNTIFS(Solicitudes!$A$5:$A$204,$B$5,Solicitudes!$B$5:$B$204,"&lt;="&amp;A27,Solicitudes!$C$5:$C$204,"&gt;="&amp;A27,Solicitudes!$D$5:$D$204,"Aprobada",Solicitudes!$G$5:$G$204,"OK"))</x:f>
        <x:v>0</x:v>
      </x:c>
      <x:c r="D27" s="2" t="n">
        <x:f>IF(A27="","",COUNTIFS(Solicitudes!$A$5:$A$204,$B$5,Solicitudes!$B$5:$B$204,"&lt;="&amp;A27,Solicitudes!$C$5:$C$204,"&gt;="&amp;A27,Solicitudes!$D$5:$D$204,"Pendiente",Solicitudes!$G$5:$G$204,"OK"))</x:f>
        <x:v>0</x:v>
      </x:c>
      <x:c r="E27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28" ht="25" customHeight="1">
      <x:c r="A28" s="12" t="n">
        <x:f>IF(E28&lt;&gt;"OK","",IF(MONTH(DATE(Configuracion!$B$4,$B$4,1)+19)=$B$4,DATE(Configuracion!$B$4,$B$4,1)+19,""))</x:f>
        <x:v>46438</x:v>
      </x:c>
      <x:c r="B28" s="2" t="n">
        <x:f>IF(A28="","",SUMIF(Configuracion!$A$10:$A$375,A28,Configuracion!$C$10:$C$375))</x:f>
        <x:v>0</x:v>
      </x:c>
      <x:c r="C28" s="2" t="n">
        <x:f>IF(A28="","",COUNTIFS(Solicitudes!$A$5:$A$204,$B$5,Solicitudes!$B$5:$B$204,"&lt;="&amp;A28,Solicitudes!$C$5:$C$204,"&gt;="&amp;A28,Solicitudes!$D$5:$D$204,"Aprobada",Solicitudes!$G$5:$G$204,"OK"))</x:f>
        <x:v>0</x:v>
      </x:c>
      <x:c r="D28" s="2" t="n">
        <x:f>IF(A28="","",COUNTIFS(Solicitudes!$A$5:$A$204,$B$5,Solicitudes!$B$5:$B$204,"&lt;="&amp;A28,Solicitudes!$C$5:$C$204,"&gt;="&amp;A28,Solicitudes!$D$5:$D$204,"Pendiente",Solicitudes!$G$5:$G$204,"OK"))</x:f>
        <x:v>0</x:v>
      </x:c>
      <x:c r="E28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29" ht="25" customHeight="1">
      <x:c r="A29" s="12" t="n">
        <x:f>IF(E29&lt;&gt;"OK","",IF(MONTH(DATE(Configuracion!$B$4,$B$4,1)+20)=$B$4,DATE(Configuracion!$B$4,$B$4,1)+20,""))</x:f>
        <x:v>46439</x:v>
      </x:c>
      <x:c r="B29" s="2" t="n">
        <x:f>IF(A29="","",SUMIF(Configuracion!$A$10:$A$375,A29,Configuracion!$C$10:$C$375))</x:f>
        <x:v>0</x:v>
      </x:c>
      <x:c r="C29" s="2" t="n">
        <x:f>IF(A29="","",COUNTIFS(Solicitudes!$A$5:$A$204,$B$5,Solicitudes!$B$5:$B$204,"&lt;="&amp;A29,Solicitudes!$C$5:$C$204,"&gt;="&amp;A29,Solicitudes!$D$5:$D$204,"Aprobada",Solicitudes!$G$5:$G$204,"OK"))</x:f>
        <x:v>0</x:v>
      </x:c>
      <x:c r="D29" s="2" t="n">
        <x:f>IF(A29="","",COUNTIFS(Solicitudes!$A$5:$A$204,$B$5,Solicitudes!$B$5:$B$204,"&lt;="&amp;A29,Solicitudes!$C$5:$C$204,"&gt;="&amp;A29,Solicitudes!$D$5:$D$204,"Pendiente",Solicitudes!$G$5:$G$204,"OK"))</x:f>
        <x:v>0</x:v>
      </x:c>
      <x:c r="E29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30" ht="25" customHeight="1">
      <x:c r="A30" s="12" t="n">
        <x:f>IF(E30&lt;&gt;"OK","",IF(MONTH(DATE(Configuracion!$B$4,$B$4,1)+21)=$B$4,DATE(Configuracion!$B$4,$B$4,1)+21,""))</x:f>
        <x:v>46440</x:v>
      </x:c>
      <x:c r="B30" s="2" t="n">
        <x:f>IF(A30="","",SUMIF(Configuracion!$A$10:$A$375,A30,Configuracion!$C$10:$C$375))</x:f>
        <x:v>1</x:v>
      </x:c>
      <x:c r="C30" s="2" t="n">
        <x:f>IF(A30="","",COUNTIFS(Solicitudes!$A$5:$A$204,$B$5,Solicitudes!$B$5:$B$204,"&lt;="&amp;A30,Solicitudes!$C$5:$C$204,"&gt;="&amp;A30,Solicitudes!$D$5:$D$204,"Aprobada",Solicitudes!$G$5:$G$204,"OK"))</x:f>
        <x:v>0</x:v>
      </x:c>
      <x:c r="D30" s="2" t="n">
        <x:f>IF(A30="","",COUNTIFS(Solicitudes!$A$5:$A$204,$B$5,Solicitudes!$B$5:$B$204,"&lt;="&amp;A30,Solicitudes!$C$5:$C$204,"&gt;="&amp;A30,Solicitudes!$D$5:$D$204,"Pendiente",Solicitudes!$G$5:$G$204,"OK"))</x:f>
        <x:v>0</x:v>
      </x:c>
      <x:c r="E30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31" ht="25" customHeight="1">
      <x:c r="A31" s="12" t="n">
        <x:f>IF(E31&lt;&gt;"OK","",IF(MONTH(DATE(Configuracion!$B$4,$B$4,1)+22)=$B$4,DATE(Configuracion!$B$4,$B$4,1)+22,""))</x:f>
        <x:v>46441</x:v>
      </x:c>
      <x:c r="B31" s="2" t="n">
        <x:f>IF(A31="","",SUMIF(Configuracion!$A$10:$A$375,A31,Configuracion!$C$10:$C$375))</x:f>
        <x:v>1</x:v>
      </x:c>
      <x:c r="C31" s="2" t="n">
        <x:f>IF(A31="","",COUNTIFS(Solicitudes!$A$5:$A$204,$B$5,Solicitudes!$B$5:$B$204,"&lt;="&amp;A31,Solicitudes!$C$5:$C$204,"&gt;="&amp;A31,Solicitudes!$D$5:$D$204,"Aprobada",Solicitudes!$G$5:$G$204,"OK"))</x:f>
        <x:v>0</x:v>
      </x:c>
      <x:c r="D31" s="2" t="n">
        <x:f>IF(A31="","",COUNTIFS(Solicitudes!$A$5:$A$204,$B$5,Solicitudes!$B$5:$B$204,"&lt;="&amp;A31,Solicitudes!$C$5:$C$204,"&gt;="&amp;A31,Solicitudes!$D$5:$D$204,"Pendiente",Solicitudes!$G$5:$G$204,"OK"))</x:f>
        <x:v>0</x:v>
      </x:c>
      <x:c r="E31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32" ht="25" customHeight="1">
      <x:c r="A32" s="12" t="n">
        <x:f>IF(E32&lt;&gt;"OK","",IF(MONTH(DATE(Configuracion!$B$4,$B$4,1)+23)=$B$4,DATE(Configuracion!$B$4,$B$4,1)+23,""))</x:f>
        <x:v>46442</x:v>
      </x:c>
      <x:c r="B32" s="2" t="n">
        <x:f>IF(A32="","",SUMIF(Configuracion!$A$10:$A$375,A32,Configuracion!$C$10:$C$375))</x:f>
        <x:v>1</x:v>
      </x:c>
      <x:c r="C32" s="2" t="n">
        <x:f>IF(A32="","",COUNTIFS(Solicitudes!$A$5:$A$204,$B$5,Solicitudes!$B$5:$B$204,"&lt;="&amp;A32,Solicitudes!$C$5:$C$204,"&gt;="&amp;A32,Solicitudes!$D$5:$D$204,"Aprobada",Solicitudes!$G$5:$G$204,"OK"))</x:f>
        <x:v>0</x:v>
      </x:c>
      <x:c r="D32" s="2" t="n">
        <x:f>IF(A32="","",COUNTIFS(Solicitudes!$A$5:$A$204,$B$5,Solicitudes!$B$5:$B$204,"&lt;="&amp;A32,Solicitudes!$C$5:$C$204,"&gt;="&amp;A32,Solicitudes!$D$5:$D$204,"Pendiente",Solicitudes!$G$5:$G$204,"OK"))</x:f>
        <x:v>0</x:v>
      </x:c>
      <x:c r="E32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33" ht="25" customHeight="1">
      <x:c r="A33" s="12" t="n">
        <x:f>IF(E33&lt;&gt;"OK","",IF(MONTH(DATE(Configuracion!$B$4,$B$4,1)+24)=$B$4,DATE(Configuracion!$B$4,$B$4,1)+24,""))</x:f>
        <x:v>46443</x:v>
      </x:c>
      <x:c r="B33" s="2" t="n">
        <x:f>IF(A33="","",SUMIF(Configuracion!$A$10:$A$375,A33,Configuracion!$C$10:$C$375))</x:f>
        <x:v>1</x:v>
      </x:c>
      <x:c r="C33" s="2" t="n">
        <x:f>IF(A33="","",COUNTIFS(Solicitudes!$A$5:$A$204,$B$5,Solicitudes!$B$5:$B$204,"&lt;="&amp;A33,Solicitudes!$C$5:$C$204,"&gt;="&amp;A33,Solicitudes!$D$5:$D$204,"Aprobada",Solicitudes!$G$5:$G$204,"OK"))</x:f>
        <x:v>0</x:v>
      </x:c>
      <x:c r="D33" s="2" t="n">
        <x:f>IF(A33="","",COUNTIFS(Solicitudes!$A$5:$A$204,$B$5,Solicitudes!$B$5:$B$204,"&lt;="&amp;A33,Solicitudes!$C$5:$C$204,"&gt;="&amp;A33,Solicitudes!$D$5:$D$204,"Pendiente",Solicitudes!$G$5:$G$204,"OK"))</x:f>
        <x:v>0</x:v>
      </x:c>
      <x:c r="E33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34" ht="25" customHeight="1">
      <x:c r="A34" s="12" t="n">
        <x:f>IF(E34&lt;&gt;"OK","",IF(MONTH(DATE(Configuracion!$B$4,$B$4,1)+25)=$B$4,DATE(Configuracion!$B$4,$B$4,1)+25,""))</x:f>
        <x:v>46444</x:v>
      </x:c>
      <x:c r="B34" s="2" t="n">
        <x:f>IF(A34="","",SUMIF(Configuracion!$A$10:$A$375,A34,Configuracion!$C$10:$C$375))</x:f>
        <x:v>1</x:v>
      </x:c>
      <x:c r="C34" s="2" t="n">
        <x:f>IF(A34="","",COUNTIFS(Solicitudes!$A$5:$A$204,$B$5,Solicitudes!$B$5:$B$204,"&lt;="&amp;A34,Solicitudes!$C$5:$C$204,"&gt;="&amp;A34,Solicitudes!$D$5:$D$204,"Aprobada",Solicitudes!$G$5:$G$204,"OK"))</x:f>
        <x:v>0</x:v>
      </x:c>
      <x:c r="D34" s="2" t="n">
        <x:f>IF(A34="","",COUNTIFS(Solicitudes!$A$5:$A$204,$B$5,Solicitudes!$B$5:$B$204,"&lt;="&amp;A34,Solicitudes!$C$5:$C$204,"&gt;="&amp;A34,Solicitudes!$D$5:$D$204,"Pendiente",Solicitudes!$G$5:$G$204,"OK"))</x:f>
        <x:v>0</x:v>
      </x:c>
      <x:c r="E34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35" ht="25" customHeight="1">
      <x:c r="A35" s="12" t="n">
        <x:f>IF(E35&lt;&gt;"OK","",IF(MONTH(DATE(Configuracion!$B$4,$B$4,1)+26)=$B$4,DATE(Configuracion!$B$4,$B$4,1)+26,""))</x:f>
        <x:v>46445</x:v>
      </x:c>
      <x:c r="B35" s="2" t="n">
        <x:f>IF(A35="","",SUMIF(Configuracion!$A$10:$A$375,A35,Configuracion!$C$10:$C$375))</x:f>
        <x:v>0</x:v>
      </x:c>
      <x:c r="C35" s="2" t="n">
        <x:f>IF(A35="","",COUNTIFS(Solicitudes!$A$5:$A$204,$B$5,Solicitudes!$B$5:$B$204,"&lt;="&amp;A35,Solicitudes!$C$5:$C$204,"&gt;="&amp;A35,Solicitudes!$D$5:$D$204,"Aprobada",Solicitudes!$G$5:$G$204,"OK"))</x:f>
        <x:v>0</x:v>
      </x:c>
      <x:c r="D35" s="2" t="n">
        <x:f>IF(A35="","",COUNTIFS(Solicitudes!$A$5:$A$204,$B$5,Solicitudes!$B$5:$B$204,"&lt;="&amp;A35,Solicitudes!$C$5:$C$204,"&gt;="&amp;A35,Solicitudes!$D$5:$D$204,"Pendiente",Solicitudes!$G$5:$G$204,"OK"))</x:f>
        <x:v>0</x:v>
      </x:c>
      <x:c r="E35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36" ht="25" customHeight="1">
      <x:c r="A36" s="12" t="n">
        <x:f>IF(E36&lt;&gt;"OK","",IF(MONTH(DATE(Configuracion!$B$4,$B$4,1)+27)=$B$4,DATE(Configuracion!$B$4,$B$4,1)+27,""))</x:f>
        <x:v>46446</x:v>
      </x:c>
      <x:c r="B36" s="2" t="n">
        <x:f>IF(A36="","",SUMIF(Configuracion!$A$10:$A$375,A36,Configuracion!$C$10:$C$375))</x:f>
        <x:v>0</x:v>
      </x:c>
      <x:c r="C36" s="2" t="n">
        <x:f>IF(A36="","",COUNTIFS(Solicitudes!$A$5:$A$204,$B$5,Solicitudes!$B$5:$B$204,"&lt;="&amp;A36,Solicitudes!$C$5:$C$204,"&gt;="&amp;A36,Solicitudes!$D$5:$D$204,"Aprobada",Solicitudes!$G$5:$G$204,"OK"))</x:f>
        <x:v>0</x:v>
      </x:c>
      <x:c r="D36" s="2" t="n">
        <x:f>IF(A36="","",COUNTIFS(Solicitudes!$A$5:$A$204,$B$5,Solicitudes!$B$5:$B$204,"&lt;="&amp;A36,Solicitudes!$C$5:$C$204,"&gt;="&amp;A36,Solicitudes!$D$5:$D$204,"Pendiente",Solicitudes!$G$5:$G$204,"OK"))</x:f>
        <x:v>0</x:v>
      </x:c>
      <x:c r="E36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37" ht="25" customHeight="1">
      <x:c r="A37" s="12" t="str">
        <x:f>IF(E37&lt;&gt;"OK","",IF(MONTH(DATE(Configuracion!$B$4,$B$4,1)+28)=$B$4,DATE(Configuracion!$B$4,$B$4,1)+28,""))</x:f>
      </x:c>
      <x:c r="B37" s="2" t="str">
        <x:f>IF(A37="","",SUMIF(Configuracion!$A$10:$A$375,A37,Configuracion!$C$10:$C$375))</x:f>
      </x:c>
      <x:c r="C37" s="2" t="str">
        <x:f>IF(A37="","",COUNTIFS(Solicitudes!$A$5:$A$204,$B$5,Solicitudes!$B$5:$B$204,"&lt;="&amp;A37,Solicitudes!$C$5:$C$204,"&gt;="&amp;A37,Solicitudes!$D$5:$D$204,"Aprobada",Solicitudes!$G$5:$G$204,"OK"))</x:f>
      </x:c>
      <x:c r="D37" s="2" t="str">
        <x:f>IF(A37="","",COUNTIFS(Solicitudes!$A$5:$A$204,$B$5,Solicitudes!$B$5:$B$204,"&lt;="&amp;A37,Solicitudes!$C$5:$C$204,"&gt;="&amp;A37,Solicitudes!$D$5:$D$204,"Pendiente",Solicitudes!$G$5:$G$204,"OK"))</x:f>
      </x:c>
      <x:c r="E37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38" ht="25" customHeight="1">
      <x:c r="A38" s="12" t="str">
        <x:f>IF(E38&lt;&gt;"OK","",IF(MONTH(DATE(Configuracion!$B$4,$B$4,1)+29)=$B$4,DATE(Configuracion!$B$4,$B$4,1)+29,""))</x:f>
      </x:c>
      <x:c r="B38" s="2" t="str">
        <x:f>IF(A38="","",SUMIF(Configuracion!$A$10:$A$375,A38,Configuracion!$C$10:$C$375))</x:f>
      </x:c>
      <x:c r="C38" s="2" t="str">
        <x:f>IF(A38="","",COUNTIFS(Solicitudes!$A$5:$A$204,$B$5,Solicitudes!$B$5:$B$204,"&lt;="&amp;A38,Solicitudes!$C$5:$C$204,"&gt;="&amp;A38,Solicitudes!$D$5:$D$204,"Aprobada",Solicitudes!$G$5:$G$204,"OK"))</x:f>
      </x:c>
      <x:c r="D38" s="2" t="str">
        <x:f>IF(A38="","",COUNTIFS(Solicitudes!$A$5:$A$204,$B$5,Solicitudes!$B$5:$B$204,"&lt;="&amp;A38,Solicitudes!$C$5:$C$204,"&gt;="&amp;A38,Solicitudes!$D$5:$D$204,"Pendiente",Solicitudes!$G$5:$G$204,"OK"))</x:f>
      </x:c>
      <x:c r="E38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  <x:row r="39" ht="25" customHeight="1">
      <x:c r="A39" s="12" t="str">
        <x:f>IF(E39&lt;&gt;"OK","",IF(MONTH(DATE(Configuracion!$B$4,$B$4,1)+30)=$B$4,DATE(Configuracion!$B$4,$B$4,1)+30,""))</x:f>
      </x:c>
      <x:c r="B39" s="2" t="str">
        <x:f>IF(A39="","",SUMIF(Configuracion!$A$10:$A$375,A39,Configuracion!$C$10:$C$375))</x:f>
      </x:c>
      <x:c r="C39" s="2" t="str">
        <x:f>IF(A39="","",COUNTIFS(Solicitudes!$A$5:$A$204,$B$5,Solicitudes!$B$5:$B$204,"&lt;="&amp;A39,Solicitudes!$C$5:$C$204,"&gt;="&amp;A39,Solicitudes!$D$5:$D$204,"Aprobada",Solicitudes!$G$5:$G$204,"OK"))</x:f>
      </x:c>
      <x:c r="D39" s="2" t="str">
        <x:f>IF(A39="","",COUNTIFS(Solicitudes!$A$5:$A$204,$B$5,Solicitudes!$B$5:$B$204,"&lt;="&amp;A39,Solicitudes!$C$5:$C$204,"&gt;="&amp;A39,Solicitudes!$D$5:$D$204,"Pendiente",Solicitudes!$G$5:$G$204,"OK"))</x:f>
      </x:c>
      <x:c r="E39" s="2" t="str">
        <x:f>IF(OR(Configuracion!$B$7&lt;&gt;"OK",NOT(ISNUMBER($B$4))),"Revisar ajustes",IF(OR($B$4&lt;1,$B$4&gt;12,$B$4&lt;&gt;INT($B$4),COUNTIF(Resumen!$A$9:$A$38,$B$5)&lt;&gt;1),"Revisar mes o ID","OK"))</x:f>
        <x:v>OK</x:v>
      </x:c>
    </x:row>
  </x:sheetData>
  <x:conditionalFormatting sqref="C9:C39">
    <x:cfRule type="cellIs" dxfId="1" priority="1" operator="greaterThan">
      <x:formula>0</x:formula>
    </x:cfRule>
  </x:conditionalFormatting>
  <x:conditionalFormatting sqref="D9:D39">
    <x:cfRule type="cellIs" dxfId="2" priority="2" operator="greaterThan">
      <x:formula>0</x:formula>
    </x:cfRule>
  </x:conditionalFormatting>
  <x:dataValidations count="1">
    <x:dataValidation type="whole" operator="between" sqref="B4">
      <x:formula1>1</x:formula1>
      <x:formula2>12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18" hidden="0" customWidth="1"/>
    <x:col min="5" max="5" width="28" hidden="0" customWidth="1"/>
    <x:col min="6" max="6" width="3" hidden="0" customWidth="1"/>
    <x:col min="7" max="7" width="29" hidden="0" customWidth="1"/>
    <x:col min="8" max="8" width="17" hidden="0" customWidth="1"/>
    <x:col min="9" max="9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Solicitudes de vacaciones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Amarillo: editar. Gris: conservar fórmulas. Fechas incluidas en el cómputo.</x:v>
      </x:c>
      <x:c r="B3" s="2"/>
      <x:c r="C3" s="2"/>
      <x:c r="D3" s="2"/>
      <x:c r="E3" s="2"/>
      <x:c r="F3" s="2"/>
      <x:c r="G3" s="2"/>
      <x:c r="H3" s="2"/>
      <x:c r="I3" s="2"/>
    </x:row>
    <x:row r="4" ht="42" customHeight="1">
      <x:c r="A4" s="6" t="str">
        <x:v>ID empleado</x:v>
      </x:c>
      <x:c r="B4" s="6" t="str">
        <x:v>Desde</x:v>
      </x:c>
      <x:c r="C4" s="6" t="str">
        <x:v>Hasta</x:v>
      </x:c>
      <x:c r="D4" s="6" t="str">
        <x:v>Estado</x:v>
      </x:c>
      <x:c r="E4" s="6" t="str">
        <x:v>Observaciones</x:v>
      </x:c>
      <x:c r="F4" s="6" t="str"/>
      <x:c r="G4" s="6" t="str">
        <x:v>Revisión datos</x:v>
      </x:c>
      <x:c r="H4" s="6" t="str">
        <x:v>Días</x:v>
      </x:c>
      <x:c r="I4" s="6" t="str">
        <x:v>Solapes</x:v>
      </x:c>
    </x:row>
    <x:row r="5" ht="25" customHeight="1">
      <x:c r="A5" s="7" t="str">
        <x:v>EMP-01</x:v>
      </x:c>
      <x:c r="B5" s="11" t="d">
        <x:v>2027-02-01T00:00:00.000Z</x:v>
      </x:c>
      <x:c r="C5" s="11" t="d">
        <x:v>2027-02-05T00:00:00.000Z</x:v>
      </x:c>
      <x:c r="D5" s="7" t="str">
        <x:v>Aprobada</x:v>
      </x:c>
      <x:c r="E5" s="7" t="str">
        <x:v>Ejemplo</x:v>
      </x:c>
      <x:c r="F5" s="2"/>
      <x:c r="G5" s="8" t="str">
        <x:f>IF(COUNTA(A5:E5)=0,"",IF(Configuracion!$B$7&lt;&gt;"OK","Revisar ajustes",IF(OR(A5="",NOT(ISNUMBER(B5)),NOT(ISNUMBER(C5)),AND(D5&lt;&gt;"Pendiente",D5&lt;&gt;"Aprobada",D5&lt;&gt;"Cancelada")),"Revisar datos",IF(OR(B5&lt;&gt;INT(B5),C5&lt;&gt;INT(C5),B5&gt;C5,B5&lt;DATE(Configuracion!$B$4,1,1),C5&gt;DATE(Configuracion!$B$4,12,31)),"Revisar fechas",IF(COUNTIF(Resumen!$A$9:$A$38,A5)&lt;&gt;1,"Revisar ID empleado","OK")))))</x:f>
        <x:v>OK</x:v>
      </x:c>
      <x:c r="H5" s="10" t="n">
        <x:f>IF(G5&lt;&gt;"OK","",SUMIFS(Configuracion!$C$10:$C$375,Configuracion!$A$10:$A$375,"&gt;="&amp;B5,Configuracion!$A$10:$A$375,"&lt;="&amp;C5))</x:f>
        <x:v>4</x:v>
      </x:c>
      <x:c r="I5" s="8" t="str">
        <x:f>IF(G5&lt;&gt;"OK","",IF(D5="Cancelada","No aplica",IF(COUNTIFS($A$5:$A$204,A5,$B$5:$B$204,"&lt;="&amp;C5,$C$5:$C$204,"&gt;="&amp;B5,$D$5:$D$204,"&lt;&gt;Cancelada",$G$5:$G$204,"OK")&gt;1,"Solape: revisar","Sin solape")))</x:f>
        <x:v>Sin solape</x:v>
      </x:c>
    </x:row>
    <x:row r="6" ht="25" customHeight="1">
      <x:c r="A6" s="7" t="str">
        <x:v>EMP-01</x:v>
      </x:c>
      <x:c r="B6" s="11" t="d">
        <x:v>2027-02-08T00:00:00.000Z</x:v>
      </x:c>
      <x:c r="C6" s="11" t="d">
        <x:v>2027-02-09T00:00:00.000Z</x:v>
      </x:c>
      <x:c r="D6" s="7" t="str">
        <x:v>Pendiente</x:v>
      </x:c>
      <x:c r="E6" s="7" t="str">
        <x:v>Ejemplo</x:v>
      </x:c>
      <x:c r="F6" s="2"/>
      <x:c r="G6" s="8" t="str">
        <x:f>IF(COUNTA(A6:E6)=0,"",IF(Configuracion!$B$7&lt;&gt;"OK","Revisar ajustes",IF(OR(A6="",NOT(ISNUMBER(B6)),NOT(ISNUMBER(C6)),AND(D6&lt;&gt;"Pendiente",D6&lt;&gt;"Aprobada",D6&lt;&gt;"Cancelada")),"Revisar datos",IF(OR(B6&lt;&gt;INT(B6),C6&lt;&gt;INT(C6),B6&gt;C6,B6&lt;DATE(Configuracion!$B$4,1,1),C6&gt;DATE(Configuracion!$B$4,12,31)),"Revisar fechas",IF(COUNTIF(Resumen!$A$9:$A$38,A6)&lt;&gt;1,"Revisar ID empleado","OK")))))</x:f>
        <x:v>OK</x:v>
      </x:c>
      <x:c r="H6" s="10" t="n">
        <x:f>IF(G6&lt;&gt;"OK","",SUMIFS(Configuracion!$C$10:$C$375,Configuracion!$A$10:$A$375,"&gt;="&amp;B6,Configuracion!$A$10:$A$375,"&lt;="&amp;C6))</x:f>
        <x:v>2</x:v>
      </x:c>
      <x:c r="I6" s="8" t="str">
        <x:f>IF(G6&lt;&gt;"OK","",IF(D6="Cancelada","No aplica",IF(COUNTIFS($A$5:$A$204,A6,$B$5:$B$204,"&lt;="&amp;C6,$C$5:$C$204,"&gt;="&amp;B6,$D$5:$D$204,"&lt;&gt;Cancelada",$G$5:$G$204,"OK")&gt;1,"Solape: revisar","Sin solape")))</x:f>
        <x:v>Sin solape</x:v>
      </x:c>
    </x:row>
    <x:row r="7" ht="25" customHeight="1">
      <x:c r="A7" s="7" t="str">
        <x:v>EMP-02</x:v>
      </x:c>
      <x:c r="B7" s="11" t="d">
        <x:v>2027-02-10T00:00:00.000Z</x:v>
      </x:c>
      <x:c r="C7" s="11" t="d">
        <x:v>2027-02-10T00:00:00.000Z</x:v>
      </x:c>
      <x:c r="D7" s="7" t="str">
        <x:v>Cancelada</x:v>
      </x:c>
      <x:c r="E7" s="7" t="str">
        <x:v>Ejemplo</x:v>
      </x:c>
      <x:c r="F7" s="2"/>
      <x:c r="G7" s="8" t="str">
        <x:f>IF(COUNTA(A7:E7)=0,"",IF(Configuracion!$B$7&lt;&gt;"OK","Revisar ajustes",IF(OR(A7="",NOT(ISNUMBER(B7)),NOT(ISNUMBER(C7)),AND(D7&lt;&gt;"Pendiente",D7&lt;&gt;"Aprobada",D7&lt;&gt;"Cancelada")),"Revisar datos",IF(OR(B7&lt;&gt;INT(B7),C7&lt;&gt;INT(C7),B7&gt;C7,B7&lt;DATE(Configuracion!$B$4,1,1),C7&gt;DATE(Configuracion!$B$4,12,31)),"Revisar fechas",IF(COUNTIF(Resumen!$A$9:$A$38,A7)&lt;&gt;1,"Revisar ID empleado","OK")))))</x:f>
        <x:v>OK</x:v>
      </x:c>
      <x:c r="H7" s="10" t="n">
        <x:f>IF(G7&lt;&gt;"OK","",SUMIFS(Configuracion!$C$10:$C$375,Configuracion!$A$10:$A$375,"&gt;="&amp;B7,Configuracion!$A$10:$A$375,"&lt;="&amp;C7))</x:f>
        <x:v>1</x:v>
      </x:c>
      <x:c r="I7" s="8" t="str">
        <x:f>IF(G7&lt;&gt;"OK","",IF(D7="Cancelada","No aplica",IF(COUNTIFS($A$5:$A$204,A7,$B$5:$B$204,"&lt;="&amp;C7,$C$5:$C$204,"&gt;="&amp;B7,$D$5:$D$204,"&lt;&gt;Cancelada",$G$5:$G$204,"OK")&gt;1,"Solape: revisar","Sin solape")))</x:f>
        <x:v>No aplica</x:v>
      </x:c>
    </x:row>
    <x:row r="8" ht="25" customHeight="1">
      <x:c r="A8" s="7"/>
      <x:c r="B8" s="11"/>
      <x:c r="C8" s="11"/>
      <x:c r="D8" s="7"/>
      <x:c r="E8" s="7"/>
      <x:c r="F8" s="2"/>
      <x:c r="G8" s="8" t="str">
        <x:f>IF(COUNTA(A8:E8)=0,"",IF(Configuracion!$B$7&lt;&gt;"OK","Revisar ajustes",IF(OR(A8="",NOT(ISNUMBER(B8)),NOT(ISNUMBER(C8)),AND(D8&lt;&gt;"Pendiente",D8&lt;&gt;"Aprobada",D8&lt;&gt;"Cancelada")),"Revisar datos",IF(OR(B8&lt;&gt;INT(B8),C8&lt;&gt;INT(C8),B8&gt;C8,B8&lt;DATE(Configuracion!$B$4,1,1),C8&gt;DATE(Configuracion!$B$4,12,31)),"Revisar fechas",IF(COUNTIF(Resumen!$A$9:$A$38,A8)&lt;&gt;1,"Revisar ID empleado","OK")))))</x:f>
      </x:c>
      <x:c r="H8" s="10" t="str">
        <x:f>IF(G8&lt;&gt;"OK","",SUMIFS(Configuracion!$C$10:$C$375,Configuracion!$A$10:$A$375,"&gt;="&amp;B8,Configuracion!$A$10:$A$375,"&lt;="&amp;C8))</x:f>
      </x:c>
      <x:c r="I8" s="8" t="str">
        <x:f>IF(G8&lt;&gt;"OK","",IF(D8="Cancelada","No aplica",IF(COUNTIFS($A$5:$A$204,A8,$B$5:$B$204,"&lt;="&amp;C8,$C$5:$C$204,"&gt;="&amp;B8,$D$5:$D$204,"&lt;&gt;Cancelada",$G$5:$G$204,"OK")&gt;1,"Solape: revisar","Sin solape")))</x:f>
      </x:c>
    </x:row>
    <x:row r="9" ht="25" customHeight="1">
      <x:c r="A9" s="7"/>
      <x:c r="B9" s="11"/>
      <x:c r="C9" s="11"/>
      <x:c r="D9" s="7"/>
      <x:c r="E9" s="7"/>
      <x:c r="F9" s="2"/>
      <x:c r="G9" s="8" t="str">
        <x:f>IF(COUNTA(A9:E9)=0,"",IF(Configuracion!$B$7&lt;&gt;"OK","Revisar ajustes",IF(OR(A9="",NOT(ISNUMBER(B9)),NOT(ISNUMBER(C9)),AND(D9&lt;&gt;"Pendiente",D9&lt;&gt;"Aprobada",D9&lt;&gt;"Cancelada")),"Revisar datos",IF(OR(B9&lt;&gt;INT(B9),C9&lt;&gt;INT(C9),B9&gt;C9,B9&lt;DATE(Configuracion!$B$4,1,1),C9&gt;DATE(Configuracion!$B$4,12,31)),"Revisar fechas",IF(COUNTIF(Resumen!$A$9:$A$38,A9)&lt;&gt;1,"Revisar ID empleado","OK")))))</x:f>
      </x:c>
      <x:c r="H9" s="10" t="str">
        <x:f>IF(G9&lt;&gt;"OK","",SUMIFS(Configuracion!$C$10:$C$375,Configuracion!$A$10:$A$375,"&gt;="&amp;B9,Configuracion!$A$10:$A$375,"&lt;="&amp;C9))</x:f>
      </x:c>
      <x:c r="I9" s="8" t="str">
        <x:f>IF(G9&lt;&gt;"OK","",IF(D9="Cancelada","No aplica",IF(COUNTIFS($A$5:$A$204,A9,$B$5:$B$204,"&lt;="&amp;C9,$C$5:$C$204,"&gt;="&amp;B9,$D$5:$D$204,"&lt;&gt;Cancelada",$G$5:$G$204,"OK")&gt;1,"Solape: revisar","Sin solape")))</x:f>
      </x:c>
    </x:row>
    <x:row r="10" ht="25" customHeight="1">
      <x:c r="A10" s="7"/>
      <x:c r="B10" s="11"/>
      <x:c r="C10" s="11"/>
      <x:c r="D10" s="7"/>
      <x:c r="E10" s="7"/>
      <x:c r="F10" s="2"/>
      <x:c r="G10" s="8" t="str">
        <x:f>IF(COUNTA(A10:E10)=0,"",IF(Configuracion!$B$7&lt;&gt;"OK","Revisar ajustes",IF(OR(A10="",NOT(ISNUMBER(B10)),NOT(ISNUMBER(C10)),AND(D10&lt;&gt;"Pendiente",D10&lt;&gt;"Aprobada",D10&lt;&gt;"Cancelada")),"Revisar datos",IF(OR(B10&lt;&gt;INT(B10),C10&lt;&gt;INT(C10),B10&gt;C10,B10&lt;DATE(Configuracion!$B$4,1,1),C10&gt;DATE(Configuracion!$B$4,12,31)),"Revisar fechas",IF(COUNTIF(Resumen!$A$9:$A$38,A10)&lt;&gt;1,"Revisar ID empleado","OK")))))</x:f>
      </x:c>
      <x:c r="H10" s="10" t="str">
        <x:f>IF(G10&lt;&gt;"OK","",SUMIFS(Configuracion!$C$10:$C$375,Configuracion!$A$10:$A$375,"&gt;="&amp;B10,Configuracion!$A$10:$A$375,"&lt;="&amp;C10))</x:f>
      </x:c>
      <x:c r="I10" s="8" t="str">
        <x:f>IF(G10&lt;&gt;"OK","",IF(D10="Cancelada","No aplica",IF(COUNTIFS($A$5:$A$204,A10,$B$5:$B$204,"&lt;="&amp;C10,$C$5:$C$204,"&gt;="&amp;B10,$D$5:$D$204,"&lt;&gt;Cancelada",$G$5:$G$204,"OK")&gt;1,"Solape: revisar","Sin solape")))</x:f>
      </x:c>
    </x:row>
    <x:row r="11" ht="25" customHeight="1">
      <x:c r="A11" s="7"/>
      <x:c r="B11" s="11"/>
      <x:c r="C11" s="11"/>
      <x:c r="D11" s="7"/>
      <x:c r="E11" s="7"/>
      <x:c r="F11" s="2"/>
      <x:c r="G11" s="8" t="str">
        <x:f>IF(COUNTA(A11:E11)=0,"",IF(Configuracion!$B$7&lt;&gt;"OK","Revisar ajustes",IF(OR(A11="",NOT(ISNUMBER(B11)),NOT(ISNUMBER(C11)),AND(D11&lt;&gt;"Pendiente",D11&lt;&gt;"Aprobada",D11&lt;&gt;"Cancelada")),"Revisar datos",IF(OR(B11&lt;&gt;INT(B11),C11&lt;&gt;INT(C11),B11&gt;C11,B11&lt;DATE(Configuracion!$B$4,1,1),C11&gt;DATE(Configuracion!$B$4,12,31)),"Revisar fechas",IF(COUNTIF(Resumen!$A$9:$A$38,A11)&lt;&gt;1,"Revisar ID empleado","OK")))))</x:f>
      </x:c>
      <x:c r="H11" s="10" t="str">
        <x:f>IF(G11&lt;&gt;"OK","",SUMIFS(Configuracion!$C$10:$C$375,Configuracion!$A$10:$A$375,"&gt;="&amp;B11,Configuracion!$A$10:$A$375,"&lt;="&amp;C11))</x:f>
      </x:c>
      <x:c r="I11" s="8" t="str">
        <x:f>IF(G11&lt;&gt;"OK","",IF(D11="Cancelada","No aplica",IF(COUNTIFS($A$5:$A$204,A11,$B$5:$B$204,"&lt;="&amp;C11,$C$5:$C$204,"&gt;="&amp;B11,$D$5:$D$204,"&lt;&gt;Cancelada",$G$5:$G$204,"OK")&gt;1,"Solape: revisar","Sin solape")))</x:f>
      </x:c>
    </x:row>
    <x:row r="12" ht="25" customHeight="1">
      <x:c r="A12" s="7"/>
      <x:c r="B12" s="11"/>
      <x:c r="C12" s="11"/>
      <x:c r="D12" s="7"/>
      <x:c r="E12" s="7"/>
      <x:c r="F12" s="2"/>
      <x:c r="G12" s="8" t="str">
        <x:f>IF(COUNTA(A12:E12)=0,"",IF(Configuracion!$B$7&lt;&gt;"OK","Revisar ajustes",IF(OR(A12="",NOT(ISNUMBER(B12)),NOT(ISNUMBER(C12)),AND(D12&lt;&gt;"Pendiente",D12&lt;&gt;"Aprobada",D12&lt;&gt;"Cancelada")),"Revisar datos",IF(OR(B12&lt;&gt;INT(B12),C12&lt;&gt;INT(C12),B12&gt;C12,B12&lt;DATE(Configuracion!$B$4,1,1),C12&gt;DATE(Configuracion!$B$4,12,31)),"Revisar fechas",IF(COUNTIF(Resumen!$A$9:$A$38,A12)&lt;&gt;1,"Revisar ID empleado","OK")))))</x:f>
      </x:c>
      <x:c r="H12" s="10" t="str">
        <x:f>IF(G12&lt;&gt;"OK","",SUMIFS(Configuracion!$C$10:$C$375,Configuracion!$A$10:$A$375,"&gt;="&amp;B12,Configuracion!$A$10:$A$375,"&lt;="&amp;C12))</x:f>
      </x:c>
      <x:c r="I12" s="8" t="str">
        <x:f>IF(G12&lt;&gt;"OK","",IF(D12="Cancelada","No aplica",IF(COUNTIFS($A$5:$A$204,A12,$B$5:$B$204,"&lt;="&amp;C12,$C$5:$C$204,"&gt;="&amp;B12,$D$5:$D$204,"&lt;&gt;Cancelada",$G$5:$G$204,"OK")&gt;1,"Solape: revisar","Sin solape")))</x:f>
      </x:c>
    </x:row>
    <x:row r="13" ht="25" customHeight="1">
      <x:c r="A13" s="7"/>
      <x:c r="B13" s="11"/>
      <x:c r="C13" s="11"/>
      <x:c r="D13" s="7"/>
      <x:c r="E13" s="7"/>
      <x:c r="F13" s="2"/>
      <x:c r="G13" s="8" t="str">
        <x:f>IF(COUNTA(A13:E13)=0,"",IF(Configuracion!$B$7&lt;&gt;"OK","Revisar ajustes",IF(OR(A13="",NOT(ISNUMBER(B13)),NOT(ISNUMBER(C13)),AND(D13&lt;&gt;"Pendiente",D13&lt;&gt;"Aprobada",D13&lt;&gt;"Cancelada")),"Revisar datos",IF(OR(B13&lt;&gt;INT(B13),C13&lt;&gt;INT(C13),B13&gt;C13,B13&lt;DATE(Configuracion!$B$4,1,1),C13&gt;DATE(Configuracion!$B$4,12,31)),"Revisar fechas",IF(COUNTIF(Resumen!$A$9:$A$38,A13)&lt;&gt;1,"Revisar ID empleado","OK")))))</x:f>
      </x:c>
      <x:c r="H13" s="10" t="str">
        <x:f>IF(G13&lt;&gt;"OK","",SUMIFS(Configuracion!$C$10:$C$375,Configuracion!$A$10:$A$375,"&gt;="&amp;B13,Configuracion!$A$10:$A$375,"&lt;="&amp;C13))</x:f>
      </x:c>
      <x:c r="I13" s="8" t="str">
        <x:f>IF(G13&lt;&gt;"OK","",IF(D13="Cancelada","No aplica",IF(COUNTIFS($A$5:$A$204,A13,$B$5:$B$204,"&lt;="&amp;C13,$C$5:$C$204,"&gt;="&amp;B13,$D$5:$D$204,"&lt;&gt;Cancelada",$G$5:$G$204,"OK")&gt;1,"Solape: revisar","Sin solape")))</x:f>
      </x:c>
    </x:row>
    <x:row r="14" ht="25" customHeight="1">
      <x:c r="A14" s="7"/>
      <x:c r="B14" s="11"/>
      <x:c r="C14" s="11"/>
      <x:c r="D14" s="7"/>
      <x:c r="E14" s="7"/>
      <x:c r="F14" s="2"/>
      <x:c r="G14" s="8" t="str">
        <x:f>IF(COUNTA(A14:E14)=0,"",IF(Configuracion!$B$7&lt;&gt;"OK","Revisar ajustes",IF(OR(A14="",NOT(ISNUMBER(B14)),NOT(ISNUMBER(C14)),AND(D14&lt;&gt;"Pendiente",D14&lt;&gt;"Aprobada",D14&lt;&gt;"Cancelada")),"Revisar datos",IF(OR(B14&lt;&gt;INT(B14),C14&lt;&gt;INT(C14),B14&gt;C14,B14&lt;DATE(Configuracion!$B$4,1,1),C14&gt;DATE(Configuracion!$B$4,12,31)),"Revisar fechas",IF(COUNTIF(Resumen!$A$9:$A$38,A14)&lt;&gt;1,"Revisar ID empleado","OK")))))</x:f>
      </x:c>
      <x:c r="H14" s="10" t="str">
        <x:f>IF(G14&lt;&gt;"OK","",SUMIFS(Configuracion!$C$10:$C$375,Configuracion!$A$10:$A$375,"&gt;="&amp;B14,Configuracion!$A$10:$A$375,"&lt;="&amp;C14))</x:f>
      </x:c>
      <x:c r="I14" s="8" t="str">
        <x:f>IF(G14&lt;&gt;"OK","",IF(D14="Cancelada","No aplica",IF(COUNTIFS($A$5:$A$204,A14,$B$5:$B$204,"&lt;="&amp;C14,$C$5:$C$204,"&gt;="&amp;B14,$D$5:$D$204,"&lt;&gt;Cancelada",$G$5:$G$204,"OK")&gt;1,"Solape: revisar","Sin solape")))</x:f>
      </x:c>
    </x:row>
    <x:row r="15" ht="25" customHeight="1">
      <x:c r="A15" s="7"/>
      <x:c r="B15" s="11"/>
      <x:c r="C15" s="11"/>
      <x:c r="D15" s="7"/>
      <x:c r="E15" s="7"/>
      <x:c r="F15" s="2"/>
      <x:c r="G15" s="8" t="str">
        <x:f>IF(COUNTA(A15:E15)=0,"",IF(Configuracion!$B$7&lt;&gt;"OK","Revisar ajustes",IF(OR(A15="",NOT(ISNUMBER(B15)),NOT(ISNUMBER(C15)),AND(D15&lt;&gt;"Pendiente",D15&lt;&gt;"Aprobada",D15&lt;&gt;"Cancelada")),"Revisar datos",IF(OR(B15&lt;&gt;INT(B15),C15&lt;&gt;INT(C15),B15&gt;C15,B15&lt;DATE(Configuracion!$B$4,1,1),C15&gt;DATE(Configuracion!$B$4,12,31)),"Revisar fechas",IF(COUNTIF(Resumen!$A$9:$A$38,A15)&lt;&gt;1,"Revisar ID empleado","OK")))))</x:f>
      </x:c>
      <x:c r="H15" s="10" t="str">
        <x:f>IF(G15&lt;&gt;"OK","",SUMIFS(Configuracion!$C$10:$C$375,Configuracion!$A$10:$A$375,"&gt;="&amp;B15,Configuracion!$A$10:$A$375,"&lt;="&amp;C15))</x:f>
      </x:c>
      <x:c r="I15" s="8" t="str">
        <x:f>IF(G15&lt;&gt;"OK","",IF(D15="Cancelada","No aplica",IF(COUNTIFS($A$5:$A$204,A15,$B$5:$B$204,"&lt;="&amp;C15,$C$5:$C$204,"&gt;="&amp;B15,$D$5:$D$204,"&lt;&gt;Cancelada",$G$5:$G$204,"OK")&gt;1,"Solape: revisar","Sin solape")))</x:f>
      </x:c>
    </x:row>
    <x:row r="16" ht="25" customHeight="1">
      <x:c r="A16" s="7"/>
      <x:c r="B16" s="11"/>
      <x:c r="C16" s="11"/>
      <x:c r="D16" s="7"/>
      <x:c r="E16" s="7"/>
      <x:c r="F16" s="2"/>
      <x:c r="G16" s="8" t="str">
        <x:f>IF(COUNTA(A16:E16)=0,"",IF(Configuracion!$B$7&lt;&gt;"OK","Revisar ajustes",IF(OR(A16="",NOT(ISNUMBER(B16)),NOT(ISNUMBER(C16)),AND(D16&lt;&gt;"Pendiente",D16&lt;&gt;"Aprobada",D16&lt;&gt;"Cancelada")),"Revisar datos",IF(OR(B16&lt;&gt;INT(B16),C16&lt;&gt;INT(C16),B16&gt;C16,B16&lt;DATE(Configuracion!$B$4,1,1),C16&gt;DATE(Configuracion!$B$4,12,31)),"Revisar fechas",IF(COUNTIF(Resumen!$A$9:$A$38,A16)&lt;&gt;1,"Revisar ID empleado","OK")))))</x:f>
      </x:c>
      <x:c r="H16" s="10" t="str">
        <x:f>IF(G16&lt;&gt;"OK","",SUMIFS(Configuracion!$C$10:$C$375,Configuracion!$A$10:$A$375,"&gt;="&amp;B16,Configuracion!$A$10:$A$375,"&lt;="&amp;C16))</x:f>
      </x:c>
      <x:c r="I16" s="8" t="str">
        <x:f>IF(G16&lt;&gt;"OK","",IF(D16="Cancelada","No aplica",IF(COUNTIFS($A$5:$A$204,A16,$B$5:$B$204,"&lt;="&amp;C16,$C$5:$C$204,"&gt;="&amp;B16,$D$5:$D$204,"&lt;&gt;Cancelada",$G$5:$G$204,"OK")&gt;1,"Solape: revisar","Sin solape")))</x:f>
      </x:c>
    </x:row>
    <x:row r="17" ht="25" customHeight="1">
      <x:c r="A17" s="7"/>
      <x:c r="B17" s="11"/>
      <x:c r="C17" s="11"/>
      <x:c r="D17" s="7"/>
      <x:c r="E17" s="7"/>
      <x:c r="F17" s="2"/>
      <x:c r="G17" s="8" t="str">
        <x:f>IF(COUNTA(A17:E17)=0,"",IF(Configuracion!$B$7&lt;&gt;"OK","Revisar ajustes",IF(OR(A17="",NOT(ISNUMBER(B17)),NOT(ISNUMBER(C17)),AND(D17&lt;&gt;"Pendiente",D17&lt;&gt;"Aprobada",D17&lt;&gt;"Cancelada")),"Revisar datos",IF(OR(B17&lt;&gt;INT(B17),C17&lt;&gt;INT(C17),B17&gt;C17,B17&lt;DATE(Configuracion!$B$4,1,1),C17&gt;DATE(Configuracion!$B$4,12,31)),"Revisar fechas",IF(COUNTIF(Resumen!$A$9:$A$38,A17)&lt;&gt;1,"Revisar ID empleado","OK")))))</x:f>
      </x:c>
      <x:c r="H17" s="10" t="str">
        <x:f>IF(G17&lt;&gt;"OK","",SUMIFS(Configuracion!$C$10:$C$375,Configuracion!$A$10:$A$375,"&gt;="&amp;B17,Configuracion!$A$10:$A$375,"&lt;="&amp;C17))</x:f>
      </x:c>
      <x:c r="I17" s="8" t="str">
        <x:f>IF(G17&lt;&gt;"OK","",IF(D17="Cancelada","No aplica",IF(COUNTIFS($A$5:$A$204,A17,$B$5:$B$204,"&lt;="&amp;C17,$C$5:$C$204,"&gt;="&amp;B17,$D$5:$D$204,"&lt;&gt;Cancelada",$G$5:$G$204,"OK")&gt;1,"Solape: revisar","Sin solape")))</x:f>
      </x:c>
    </x:row>
    <x:row r="18" ht="25" customHeight="1">
      <x:c r="A18" s="7"/>
      <x:c r="B18" s="11"/>
      <x:c r="C18" s="11"/>
      <x:c r="D18" s="7"/>
      <x:c r="E18" s="7"/>
      <x:c r="F18" s="2"/>
      <x:c r="G18" s="8" t="str">
        <x:f>IF(COUNTA(A18:E18)=0,"",IF(Configuracion!$B$7&lt;&gt;"OK","Revisar ajustes",IF(OR(A18="",NOT(ISNUMBER(B18)),NOT(ISNUMBER(C18)),AND(D18&lt;&gt;"Pendiente",D18&lt;&gt;"Aprobada",D18&lt;&gt;"Cancelada")),"Revisar datos",IF(OR(B18&lt;&gt;INT(B18),C18&lt;&gt;INT(C18),B18&gt;C18,B18&lt;DATE(Configuracion!$B$4,1,1),C18&gt;DATE(Configuracion!$B$4,12,31)),"Revisar fechas",IF(COUNTIF(Resumen!$A$9:$A$38,A18)&lt;&gt;1,"Revisar ID empleado","OK")))))</x:f>
      </x:c>
      <x:c r="H18" s="10" t="str">
        <x:f>IF(G18&lt;&gt;"OK","",SUMIFS(Configuracion!$C$10:$C$375,Configuracion!$A$10:$A$375,"&gt;="&amp;B18,Configuracion!$A$10:$A$375,"&lt;="&amp;C18))</x:f>
      </x:c>
      <x:c r="I18" s="8" t="str">
        <x:f>IF(G18&lt;&gt;"OK","",IF(D18="Cancelada","No aplica",IF(COUNTIFS($A$5:$A$204,A18,$B$5:$B$204,"&lt;="&amp;C18,$C$5:$C$204,"&gt;="&amp;B18,$D$5:$D$204,"&lt;&gt;Cancelada",$G$5:$G$204,"OK")&gt;1,"Solape: revisar","Sin solape")))</x:f>
      </x:c>
    </x:row>
    <x:row r="19" ht="25" customHeight="1">
      <x:c r="A19" s="7"/>
      <x:c r="B19" s="11"/>
      <x:c r="C19" s="11"/>
      <x:c r="D19" s="7"/>
      <x:c r="E19" s="7"/>
      <x:c r="F19" s="2"/>
      <x:c r="G19" s="8" t="str">
        <x:f>IF(COUNTA(A19:E19)=0,"",IF(Configuracion!$B$7&lt;&gt;"OK","Revisar ajustes",IF(OR(A19="",NOT(ISNUMBER(B19)),NOT(ISNUMBER(C19)),AND(D19&lt;&gt;"Pendiente",D19&lt;&gt;"Aprobada",D19&lt;&gt;"Cancelada")),"Revisar datos",IF(OR(B19&lt;&gt;INT(B19),C19&lt;&gt;INT(C19),B19&gt;C19,B19&lt;DATE(Configuracion!$B$4,1,1),C19&gt;DATE(Configuracion!$B$4,12,31)),"Revisar fechas",IF(COUNTIF(Resumen!$A$9:$A$38,A19)&lt;&gt;1,"Revisar ID empleado","OK")))))</x:f>
      </x:c>
      <x:c r="H19" s="10" t="str">
        <x:f>IF(G19&lt;&gt;"OK","",SUMIFS(Configuracion!$C$10:$C$375,Configuracion!$A$10:$A$375,"&gt;="&amp;B19,Configuracion!$A$10:$A$375,"&lt;="&amp;C19))</x:f>
      </x:c>
      <x:c r="I19" s="8" t="str">
        <x:f>IF(G19&lt;&gt;"OK","",IF(D19="Cancelada","No aplica",IF(COUNTIFS($A$5:$A$204,A19,$B$5:$B$204,"&lt;="&amp;C19,$C$5:$C$204,"&gt;="&amp;B19,$D$5:$D$204,"&lt;&gt;Cancelada",$G$5:$G$204,"OK")&gt;1,"Solape: revisar","Sin solape")))</x:f>
      </x:c>
    </x:row>
    <x:row r="20" ht="25" customHeight="1">
      <x:c r="A20" s="7"/>
      <x:c r="B20" s="11"/>
      <x:c r="C20" s="11"/>
      <x:c r="D20" s="7"/>
      <x:c r="E20" s="7"/>
      <x:c r="F20" s="2"/>
      <x:c r="G20" s="8" t="str">
        <x:f>IF(COUNTA(A20:E20)=0,"",IF(Configuracion!$B$7&lt;&gt;"OK","Revisar ajustes",IF(OR(A20="",NOT(ISNUMBER(B20)),NOT(ISNUMBER(C20)),AND(D20&lt;&gt;"Pendiente",D20&lt;&gt;"Aprobada",D20&lt;&gt;"Cancelada")),"Revisar datos",IF(OR(B20&lt;&gt;INT(B20),C20&lt;&gt;INT(C20),B20&gt;C20,B20&lt;DATE(Configuracion!$B$4,1,1),C20&gt;DATE(Configuracion!$B$4,12,31)),"Revisar fechas",IF(COUNTIF(Resumen!$A$9:$A$38,A20)&lt;&gt;1,"Revisar ID empleado","OK")))))</x:f>
      </x:c>
      <x:c r="H20" s="10" t="str">
        <x:f>IF(G20&lt;&gt;"OK","",SUMIFS(Configuracion!$C$10:$C$375,Configuracion!$A$10:$A$375,"&gt;="&amp;B20,Configuracion!$A$10:$A$375,"&lt;="&amp;C20))</x:f>
      </x:c>
      <x:c r="I20" s="8" t="str">
        <x:f>IF(G20&lt;&gt;"OK","",IF(D20="Cancelada","No aplica",IF(COUNTIFS($A$5:$A$204,A20,$B$5:$B$204,"&lt;="&amp;C20,$C$5:$C$204,"&gt;="&amp;B20,$D$5:$D$204,"&lt;&gt;Cancelada",$G$5:$G$204,"OK")&gt;1,"Solape: revisar","Sin solape")))</x:f>
      </x:c>
    </x:row>
    <x:row r="21" ht="25" customHeight="1">
      <x:c r="A21" s="7"/>
      <x:c r="B21" s="11"/>
      <x:c r="C21" s="11"/>
      <x:c r="D21" s="7"/>
      <x:c r="E21" s="7"/>
      <x:c r="F21" s="2"/>
      <x:c r="G21" s="8" t="str">
        <x:f>IF(COUNTA(A21:E21)=0,"",IF(Configuracion!$B$7&lt;&gt;"OK","Revisar ajustes",IF(OR(A21="",NOT(ISNUMBER(B21)),NOT(ISNUMBER(C21)),AND(D21&lt;&gt;"Pendiente",D21&lt;&gt;"Aprobada",D21&lt;&gt;"Cancelada")),"Revisar datos",IF(OR(B21&lt;&gt;INT(B21),C21&lt;&gt;INT(C21),B21&gt;C21,B21&lt;DATE(Configuracion!$B$4,1,1),C21&gt;DATE(Configuracion!$B$4,12,31)),"Revisar fechas",IF(COUNTIF(Resumen!$A$9:$A$38,A21)&lt;&gt;1,"Revisar ID empleado","OK")))))</x:f>
      </x:c>
      <x:c r="H21" s="10" t="str">
        <x:f>IF(G21&lt;&gt;"OK","",SUMIFS(Configuracion!$C$10:$C$375,Configuracion!$A$10:$A$375,"&gt;="&amp;B21,Configuracion!$A$10:$A$375,"&lt;="&amp;C21))</x:f>
      </x:c>
      <x:c r="I21" s="8" t="str">
        <x:f>IF(G21&lt;&gt;"OK","",IF(D21="Cancelada","No aplica",IF(COUNTIFS($A$5:$A$204,A21,$B$5:$B$204,"&lt;="&amp;C21,$C$5:$C$204,"&gt;="&amp;B21,$D$5:$D$204,"&lt;&gt;Cancelada",$G$5:$G$204,"OK")&gt;1,"Solape: revisar","Sin solape")))</x:f>
      </x:c>
    </x:row>
    <x:row r="22" ht="25" customHeight="1">
      <x:c r="A22" s="7"/>
      <x:c r="B22" s="11"/>
      <x:c r="C22" s="11"/>
      <x:c r="D22" s="7"/>
      <x:c r="E22" s="7"/>
      <x:c r="F22" s="2"/>
      <x:c r="G22" s="8" t="str">
        <x:f>IF(COUNTA(A22:E22)=0,"",IF(Configuracion!$B$7&lt;&gt;"OK","Revisar ajustes",IF(OR(A22="",NOT(ISNUMBER(B22)),NOT(ISNUMBER(C22)),AND(D22&lt;&gt;"Pendiente",D22&lt;&gt;"Aprobada",D22&lt;&gt;"Cancelada")),"Revisar datos",IF(OR(B22&lt;&gt;INT(B22),C22&lt;&gt;INT(C22),B22&gt;C22,B22&lt;DATE(Configuracion!$B$4,1,1),C22&gt;DATE(Configuracion!$B$4,12,31)),"Revisar fechas",IF(COUNTIF(Resumen!$A$9:$A$38,A22)&lt;&gt;1,"Revisar ID empleado","OK")))))</x:f>
      </x:c>
      <x:c r="H22" s="10" t="str">
        <x:f>IF(G22&lt;&gt;"OK","",SUMIFS(Configuracion!$C$10:$C$375,Configuracion!$A$10:$A$375,"&gt;="&amp;B22,Configuracion!$A$10:$A$375,"&lt;="&amp;C22))</x:f>
      </x:c>
      <x:c r="I22" s="8" t="str">
        <x:f>IF(G22&lt;&gt;"OK","",IF(D22="Cancelada","No aplica",IF(COUNTIFS($A$5:$A$204,A22,$B$5:$B$204,"&lt;="&amp;C22,$C$5:$C$204,"&gt;="&amp;B22,$D$5:$D$204,"&lt;&gt;Cancelada",$G$5:$G$204,"OK")&gt;1,"Solape: revisar","Sin solape")))</x:f>
      </x:c>
    </x:row>
    <x:row r="23" ht="25" customHeight="1">
      <x:c r="A23" s="7"/>
      <x:c r="B23" s="11"/>
      <x:c r="C23" s="11"/>
      <x:c r="D23" s="7"/>
      <x:c r="E23" s="7"/>
      <x:c r="F23" s="2"/>
      <x:c r="G23" s="8" t="str">
        <x:f>IF(COUNTA(A23:E23)=0,"",IF(Configuracion!$B$7&lt;&gt;"OK","Revisar ajustes",IF(OR(A23="",NOT(ISNUMBER(B23)),NOT(ISNUMBER(C23)),AND(D23&lt;&gt;"Pendiente",D23&lt;&gt;"Aprobada",D23&lt;&gt;"Cancelada")),"Revisar datos",IF(OR(B23&lt;&gt;INT(B23),C23&lt;&gt;INT(C23),B23&gt;C23,B23&lt;DATE(Configuracion!$B$4,1,1),C23&gt;DATE(Configuracion!$B$4,12,31)),"Revisar fechas",IF(COUNTIF(Resumen!$A$9:$A$38,A23)&lt;&gt;1,"Revisar ID empleado","OK")))))</x:f>
      </x:c>
      <x:c r="H23" s="10" t="str">
        <x:f>IF(G23&lt;&gt;"OK","",SUMIFS(Configuracion!$C$10:$C$375,Configuracion!$A$10:$A$375,"&gt;="&amp;B23,Configuracion!$A$10:$A$375,"&lt;="&amp;C23))</x:f>
      </x:c>
      <x:c r="I23" s="8" t="str">
        <x:f>IF(G23&lt;&gt;"OK","",IF(D23="Cancelada","No aplica",IF(COUNTIFS($A$5:$A$204,A23,$B$5:$B$204,"&lt;="&amp;C23,$C$5:$C$204,"&gt;="&amp;B23,$D$5:$D$204,"&lt;&gt;Cancelada",$G$5:$G$204,"OK")&gt;1,"Solape: revisar","Sin solape")))</x:f>
      </x:c>
    </x:row>
    <x:row r="24" ht="25" customHeight="1">
      <x:c r="A24" s="7"/>
      <x:c r="B24" s="11"/>
      <x:c r="C24" s="11"/>
      <x:c r="D24" s="7"/>
      <x:c r="E24" s="7"/>
      <x:c r="F24" s="2"/>
      <x:c r="G24" s="8" t="str">
        <x:f>IF(COUNTA(A24:E24)=0,"",IF(Configuracion!$B$7&lt;&gt;"OK","Revisar ajustes",IF(OR(A24="",NOT(ISNUMBER(B24)),NOT(ISNUMBER(C24)),AND(D24&lt;&gt;"Pendiente",D24&lt;&gt;"Aprobada",D24&lt;&gt;"Cancelada")),"Revisar datos",IF(OR(B24&lt;&gt;INT(B24),C24&lt;&gt;INT(C24),B24&gt;C24,B24&lt;DATE(Configuracion!$B$4,1,1),C24&gt;DATE(Configuracion!$B$4,12,31)),"Revisar fechas",IF(COUNTIF(Resumen!$A$9:$A$38,A24)&lt;&gt;1,"Revisar ID empleado","OK")))))</x:f>
      </x:c>
      <x:c r="H24" s="10" t="str">
        <x:f>IF(G24&lt;&gt;"OK","",SUMIFS(Configuracion!$C$10:$C$375,Configuracion!$A$10:$A$375,"&gt;="&amp;B24,Configuracion!$A$10:$A$375,"&lt;="&amp;C24))</x:f>
      </x:c>
      <x:c r="I24" s="8" t="str">
        <x:f>IF(G24&lt;&gt;"OK","",IF(D24="Cancelada","No aplica",IF(COUNTIFS($A$5:$A$204,A24,$B$5:$B$204,"&lt;="&amp;C24,$C$5:$C$204,"&gt;="&amp;B24,$D$5:$D$204,"&lt;&gt;Cancelada",$G$5:$G$204,"OK")&gt;1,"Solape: revisar","Sin solape")))</x:f>
      </x:c>
    </x:row>
    <x:row r="25" ht="25" customHeight="1">
      <x:c r="A25" s="7"/>
      <x:c r="B25" s="11"/>
      <x:c r="C25" s="11"/>
      <x:c r="D25" s="7"/>
      <x:c r="E25" s="7"/>
      <x:c r="F25" s="2"/>
      <x:c r="G25" s="8" t="str">
        <x:f>IF(COUNTA(A25:E25)=0,"",IF(Configuracion!$B$7&lt;&gt;"OK","Revisar ajustes",IF(OR(A25="",NOT(ISNUMBER(B25)),NOT(ISNUMBER(C25)),AND(D25&lt;&gt;"Pendiente",D25&lt;&gt;"Aprobada",D25&lt;&gt;"Cancelada")),"Revisar datos",IF(OR(B25&lt;&gt;INT(B25),C25&lt;&gt;INT(C25),B25&gt;C25,B25&lt;DATE(Configuracion!$B$4,1,1),C25&gt;DATE(Configuracion!$B$4,12,31)),"Revisar fechas",IF(COUNTIF(Resumen!$A$9:$A$38,A25)&lt;&gt;1,"Revisar ID empleado","OK")))))</x:f>
      </x:c>
      <x:c r="H25" s="10" t="str">
        <x:f>IF(G25&lt;&gt;"OK","",SUMIFS(Configuracion!$C$10:$C$375,Configuracion!$A$10:$A$375,"&gt;="&amp;B25,Configuracion!$A$10:$A$375,"&lt;="&amp;C25))</x:f>
      </x:c>
      <x:c r="I25" s="8" t="str">
        <x:f>IF(G25&lt;&gt;"OK","",IF(D25="Cancelada","No aplica",IF(COUNTIFS($A$5:$A$204,A25,$B$5:$B$204,"&lt;="&amp;C25,$C$5:$C$204,"&gt;="&amp;B25,$D$5:$D$204,"&lt;&gt;Cancelada",$G$5:$G$204,"OK")&gt;1,"Solape: revisar","Sin solape")))</x:f>
      </x:c>
    </x:row>
    <x:row r="26" ht="25" customHeight="1">
      <x:c r="A26" s="7"/>
      <x:c r="B26" s="11"/>
      <x:c r="C26" s="11"/>
      <x:c r="D26" s="7"/>
      <x:c r="E26" s="7"/>
      <x:c r="F26" s="2"/>
      <x:c r="G26" s="8" t="str">
        <x:f>IF(COUNTA(A26:E26)=0,"",IF(Configuracion!$B$7&lt;&gt;"OK","Revisar ajustes",IF(OR(A26="",NOT(ISNUMBER(B26)),NOT(ISNUMBER(C26)),AND(D26&lt;&gt;"Pendiente",D26&lt;&gt;"Aprobada",D26&lt;&gt;"Cancelada")),"Revisar datos",IF(OR(B26&lt;&gt;INT(B26),C26&lt;&gt;INT(C26),B26&gt;C26,B26&lt;DATE(Configuracion!$B$4,1,1),C26&gt;DATE(Configuracion!$B$4,12,31)),"Revisar fechas",IF(COUNTIF(Resumen!$A$9:$A$38,A26)&lt;&gt;1,"Revisar ID empleado","OK")))))</x:f>
      </x:c>
      <x:c r="H26" s="10" t="str">
        <x:f>IF(G26&lt;&gt;"OK","",SUMIFS(Configuracion!$C$10:$C$375,Configuracion!$A$10:$A$375,"&gt;="&amp;B26,Configuracion!$A$10:$A$375,"&lt;="&amp;C26))</x:f>
      </x:c>
      <x:c r="I26" s="8" t="str">
        <x:f>IF(G26&lt;&gt;"OK","",IF(D26="Cancelada","No aplica",IF(COUNTIFS($A$5:$A$204,A26,$B$5:$B$204,"&lt;="&amp;C26,$C$5:$C$204,"&gt;="&amp;B26,$D$5:$D$204,"&lt;&gt;Cancelada",$G$5:$G$204,"OK")&gt;1,"Solape: revisar","Sin solape")))</x:f>
      </x:c>
    </x:row>
    <x:row r="27" ht="25" customHeight="1">
      <x:c r="A27" s="7"/>
      <x:c r="B27" s="11"/>
      <x:c r="C27" s="11"/>
      <x:c r="D27" s="7"/>
      <x:c r="E27" s="7"/>
      <x:c r="F27" s="2"/>
      <x:c r="G27" s="8" t="str">
        <x:f>IF(COUNTA(A27:E27)=0,"",IF(Configuracion!$B$7&lt;&gt;"OK","Revisar ajustes",IF(OR(A27="",NOT(ISNUMBER(B27)),NOT(ISNUMBER(C27)),AND(D27&lt;&gt;"Pendiente",D27&lt;&gt;"Aprobada",D27&lt;&gt;"Cancelada")),"Revisar datos",IF(OR(B27&lt;&gt;INT(B27),C27&lt;&gt;INT(C27),B27&gt;C27,B27&lt;DATE(Configuracion!$B$4,1,1),C27&gt;DATE(Configuracion!$B$4,12,31)),"Revisar fechas",IF(COUNTIF(Resumen!$A$9:$A$38,A27)&lt;&gt;1,"Revisar ID empleado","OK")))))</x:f>
      </x:c>
      <x:c r="H27" s="10" t="str">
        <x:f>IF(G27&lt;&gt;"OK","",SUMIFS(Configuracion!$C$10:$C$375,Configuracion!$A$10:$A$375,"&gt;="&amp;B27,Configuracion!$A$10:$A$375,"&lt;="&amp;C27))</x:f>
      </x:c>
      <x:c r="I27" s="8" t="str">
        <x:f>IF(G27&lt;&gt;"OK","",IF(D27="Cancelada","No aplica",IF(COUNTIFS($A$5:$A$204,A27,$B$5:$B$204,"&lt;="&amp;C27,$C$5:$C$204,"&gt;="&amp;B27,$D$5:$D$204,"&lt;&gt;Cancelada",$G$5:$G$204,"OK")&gt;1,"Solape: revisar","Sin solape")))</x:f>
      </x:c>
    </x:row>
    <x:row r="28" ht="25" customHeight="1">
      <x:c r="A28" s="7"/>
      <x:c r="B28" s="11"/>
      <x:c r="C28" s="11"/>
      <x:c r="D28" s="7"/>
      <x:c r="E28" s="7"/>
      <x:c r="F28" s="2"/>
      <x:c r="G28" s="8" t="str">
        <x:f>IF(COUNTA(A28:E28)=0,"",IF(Configuracion!$B$7&lt;&gt;"OK","Revisar ajustes",IF(OR(A28="",NOT(ISNUMBER(B28)),NOT(ISNUMBER(C28)),AND(D28&lt;&gt;"Pendiente",D28&lt;&gt;"Aprobada",D28&lt;&gt;"Cancelada")),"Revisar datos",IF(OR(B28&lt;&gt;INT(B28),C28&lt;&gt;INT(C28),B28&gt;C28,B28&lt;DATE(Configuracion!$B$4,1,1),C28&gt;DATE(Configuracion!$B$4,12,31)),"Revisar fechas",IF(COUNTIF(Resumen!$A$9:$A$38,A28)&lt;&gt;1,"Revisar ID empleado","OK")))))</x:f>
      </x:c>
      <x:c r="H28" s="10" t="str">
        <x:f>IF(G28&lt;&gt;"OK","",SUMIFS(Configuracion!$C$10:$C$375,Configuracion!$A$10:$A$375,"&gt;="&amp;B28,Configuracion!$A$10:$A$375,"&lt;="&amp;C28))</x:f>
      </x:c>
      <x:c r="I28" s="8" t="str">
        <x:f>IF(G28&lt;&gt;"OK","",IF(D28="Cancelada","No aplica",IF(COUNTIFS($A$5:$A$204,A28,$B$5:$B$204,"&lt;="&amp;C28,$C$5:$C$204,"&gt;="&amp;B28,$D$5:$D$204,"&lt;&gt;Cancelada",$G$5:$G$204,"OK")&gt;1,"Solape: revisar","Sin solape")))</x:f>
      </x:c>
    </x:row>
    <x:row r="29" ht="25" customHeight="1">
      <x:c r="A29" s="7"/>
      <x:c r="B29" s="11"/>
      <x:c r="C29" s="11"/>
      <x:c r="D29" s="7"/>
      <x:c r="E29" s="7"/>
      <x:c r="F29" s="2"/>
      <x:c r="G29" s="8" t="str">
        <x:f>IF(COUNTA(A29:E29)=0,"",IF(Configuracion!$B$7&lt;&gt;"OK","Revisar ajustes",IF(OR(A29="",NOT(ISNUMBER(B29)),NOT(ISNUMBER(C29)),AND(D29&lt;&gt;"Pendiente",D29&lt;&gt;"Aprobada",D29&lt;&gt;"Cancelada")),"Revisar datos",IF(OR(B29&lt;&gt;INT(B29),C29&lt;&gt;INT(C29),B29&gt;C29,B29&lt;DATE(Configuracion!$B$4,1,1),C29&gt;DATE(Configuracion!$B$4,12,31)),"Revisar fechas",IF(COUNTIF(Resumen!$A$9:$A$38,A29)&lt;&gt;1,"Revisar ID empleado","OK")))))</x:f>
      </x:c>
      <x:c r="H29" s="10" t="str">
        <x:f>IF(G29&lt;&gt;"OK","",SUMIFS(Configuracion!$C$10:$C$375,Configuracion!$A$10:$A$375,"&gt;="&amp;B29,Configuracion!$A$10:$A$375,"&lt;="&amp;C29))</x:f>
      </x:c>
      <x:c r="I29" s="8" t="str">
        <x:f>IF(G29&lt;&gt;"OK","",IF(D29="Cancelada","No aplica",IF(COUNTIFS($A$5:$A$204,A29,$B$5:$B$204,"&lt;="&amp;C29,$C$5:$C$204,"&gt;="&amp;B29,$D$5:$D$204,"&lt;&gt;Cancelada",$G$5:$G$204,"OK")&gt;1,"Solape: revisar","Sin solape")))</x:f>
      </x:c>
    </x:row>
    <x:row r="30" ht="25" customHeight="1">
      <x:c r="A30" s="7"/>
      <x:c r="B30" s="11"/>
      <x:c r="C30" s="11"/>
      <x:c r="D30" s="7"/>
      <x:c r="E30" s="7"/>
      <x:c r="F30" s="2"/>
      <x:c r="G30" s="8" t="str">
        <x:f>IF(COUNTA(A30:E30)=0,"",IF(Configuracion!$B$7&lt;&gt;"OK","Revisar ajustes",IF(OR(A30="",NOT(ISNUMBER(B30)),NOT(ISNUMBER(C30)),AND(D30&lt;&gt;"Pendiente",D30&lt;&gt;"Aprobada",D30&lt;&gt;"Cancelada")),"Revisar datos",IF(OR(B30&lt;&gt;INT(B30),C30&lt;&gt;INT(C30),B30&gt;C30,B30&lt;DATE(Configuracion!$B$4,1,1),C30&gt;DATE(Configuracion!$B$4,12,31)),"Revisar fechas",IF(COUNTIF(Resumen!$A$9:$A$38,A30)&lt;&gt;1,"Revisar ID empleado","OK")))))</x:f>
      </x:c>
      <x:c r="H30" s="10" t="str">
        <x:f>IF(G30&lt;&gt;"OK","",SUMIFS(Configuracion!$C$10:$C$375,Configuracion!$A$10:$A$375,"&gt;="&amp;B30,Configuracion!$A$10:$A$375,"&lt;="&amp;C30))</x:f>
      </x:c>
      <x:c r="I30" s="8" t="str">
        <x:f>IF(G30&lt;&gt;"OK","",IF(D30="Cancelada","No aplica",IF(COUNTIFS($A$5:$A$204,A30,$B$5:$B$204,"&lt;="&amp;C30,$C$5:$C$204,"&gt;="&amp;B30,$D$5:$D$204,"&lt;&gt;Cancelada",$G$5:$G$204,"OK")&gt;1,"Solape: revisar","Sin solape")))</x:f>
      </x:c>
    </x:row>
    <x:row r="31" ht="25" customHeight="1">
      <x:c r="A31" s="7"/>
      <x:c r="B31" s="11"/>
      <x:c r="C31" s="11"/>
      <x:c r="D31" s="7"/>
      <x:c r="E31" s="7"/>
      <x:c r="F31" s="2"/>
      <x:c r="G31" s="8" t="str">
        <x:f>IF(COUNTA(A31:E31)=0,"",IF(Configuracion!$B$7&lt;&gt;"OK","Revisar ajustes",IF(OR(A31="",NOT(ISNUMBER(B31)),NOT(ISNUMBER(C31)),AND(D31&lt;&gt;"Pendiente",D31&lt;&gt;"Aprobada",D31&lt;&gt;"Cancelada")),"Revisar datos",IF(OR(B31&lt;&gt;INT(B31),C31&lt;&gt;INT(C31),B31&gt;C31,B31&lt;DATE(Configuracion!$B$4,1,1),C31&gt;DATE(Configuracion!$B$4,12,31)),"Revisar fechas",IF(COUNTIF(Resumen!$A$9:$A$38,A31)&lt;&gt;1,"Revisar ID empleado","OK")))))</x:f>
      </x:c>
      <x:c r="H31" s="10" t="str">
        <x:f>IF(G31&lt;&gt;"OK","",SUMIFS(Configuracion!$C$10:$C$375,Configuracion!$A$10:$A$375,"&gt;="&amp;B31,Configuracion!$A$10:$A$375,"&lt;="&amp;C31))</x:f>
      </x:c>
      <x:c r="I31" s="8" t="str">
        <x:f>IF(G31&lt;&gt;"OK","",IF(D31="Cancelada","No aplica",IF(COUNTIFS($A$5:$A$204,A31,$B$5:$B$204,"&lt;="&amp;C31,$C$5:$C$204,"&gt;="&amp;B31,$D$5:$D$204,"&lt;&gt;Cancelada",$G$5:$G$204,"OK")&gt;1,"Solape: revisar","Sin solape")))</x:f>
      </x:c>
    </x:row>
    <x:row r="32" ht="25" customHeight="1">
      <x:c r="A32" s="7"/>
      <x:c r="B32" s="11"/>
      <x:c r="C32" s="11"/>
      <x:c r="D32" s="7"/>
      <x:c r="E32" s="7"/>
      <x:c r="F32" s="2"/>
      <x:c r="G32" s="8" t="str">
        <x:f>IF(COUNTA(A32:E32)=0,"",IF(Configuracion!$B$7&lt;&gt;"OK","Revisar ajustes",IF(OR(A32="",NOT(ISNUMBER(B32)),NOT(ISNUMBER(C32)),AND(D32&lt;&gt;"Pendiente",D32&lt;&gt;"Aprobada",D32&lt;&gt;"Cancelada")),"Revisar datos",IF(OR(B32&lt;&gt;INT(B32),C32&lt;&gt;INT(C32),B32&gt;C32,B32&lt;DATE(Configuracion!$B$4,1,1),C32&gt;DATE(Configuracion!$B$4,12,31)),"Revisar fechas",IF(COUNTIF(Resumen!$A$9:$A$38,A32)&lt;&gt;1,"Revisar ID empleado","OK")))))</x:f>
      </x:c>
      <x:c r="H32" s="10" t="str">
        <x:f>IF(G32&lt;&gt;"OK","",SUMIFS(Configuracion!$C$10:$C$375,Configuracion!$A$10:$A$375,"&gt;="&amp;B32,Configuracion!$A$10:$A$375,"&lt;="&amp;C32))</x:f>
      </x:c>
      <x:c r="I32" s="8" t="str">
        <x:f>IF(G32&lt;&gt;"OK","",IF(D32="Cancelada","No aplica",IF(COUNTIFS($A$5:$A$204,A32,$B$5:$B$204,"&lt;="&amp;C32,$C$5:$C$204,"&gt;="&amp;B32,$D$5:$D$204,"&lt;&gt;Cancelada",$G$5:$G$204,"OK")&gt;1,"Solape: revisar","Sin solape")))</x:f>
      </x:c>
    </x:row>
    <x:row r="33" ht="25" customHeight="1">
      <x:c r="A33" s="7"/>
      <x:c r="B33" s="11"/>
      <x:c r="C33" s="11"/>
      <x:c r="D33" s="7"/>
      <x:c r="E33" s="7"/>
      <x:c r="F33" s="2"/>
      <x:c r="G33" s="8" t="str">
        <x:f>IF(COUNTA(A33:E33)=0,"",IF(Configuracion!$B$7&lt;&gt;"OK","Revisar ajustes",IF(OR(A33="",NOT(ISNUMBER(B33)),NOT(ISNUMBER(C33)),AND(D33&lt;&gt;"Pendiente",D33&lt;&gt;"Aprobada",D33&lt;&gt;"Cancelada")),"Revisar datos",IF(OR(B33&lt;&gt;INT(B33),C33&lt;&gt;INT(C33),B33&gt;C33,B33&lt;DATE(Configuracion!$B$4,1,1),C33&gt;DATE(Configuracion!$B$4,12,31)),"Revisar fechas",IF(COUNTIF(Resumen!$A$9:$A$38,A33)&lt;&gt;1,"Revisar ID empleado","OK")))))</x:f>
      </x:c>
      <x:c r="H33" s="10" t="str">
        <x:f>IF(G33&lt;&gt;"OK","",SUMIFS(Configuracion!$C$10:$C$375,Configuracion!$A$10:$A$375,"&gt;="&amp;B33,Configuracion!$A$10:$A$375,"&lt;="&amp;C33))</x:f>
      </x:c>
      <x:c r="I33" s="8" t="str">
        <x:f>IF(G33&lt;&gt;"OK","",IF(D33="Cancelada","No aplica",IF(COUNTIFS($A$5:$A$204,A33,$B$5:$B$204,"&lt;="&amp;C33,$C$5:$C$204,"&gt;="&amp;B33,$D$5:$D$204,"&lt;&gt;Cancelada",$G$5:$G$204,"OK")&gt;1,"Solape: revisar","Sin solape")))</x:f>
      </x:c>
    </x:row>
    <x:row r="34" ht="25" customHeight="1">
      <x:c r="A34" s="7"/>
      <x:c r="B34" s="11"/>
      <x:c r="C34" s="11"/>
      <x:c r="D34" s="7"/>
      <x:c r="E34" s="7"/>
      <x:c r="F34" s="2"/>
      <x:c r="G34" s="8" t="str">
        <x:f>IF(COUNTA(A34:E34)=0,"",IF(Configuracion!$B$7&lt;&gt;"OK","Revisar ajustes",IF(OR(A34="",NOT(ISNUMBER(B34)),NOT(ISNUMBER(C34)),AND(D34&lt;&gt;"Pendiente",D34&lt;&gt;"Aprobada",D34&lt;&gt;"Cancelada")),"Revisar datos",IF(OR(B34&lt;&gt;INT(B34),C34&lt;&gt;INT(C34),B34&gt;C34,B34&lt;DATE(Configuracion!$B$4,1,1),C34&gt;DATE(Configuracion!$B$4,12,31)),"Revisar fechas",IF(COUNTIF(Resumen!$A$9:$A$38,A34)&lt;&gt;1,"Revisar ID empleado","OK")))))</x:f>
      </x:c>
      <x:c r="H34" s="10" t="str">
        <x:f>IF(G34&lt;&gt;"OK","",SUMIFS(Configuracion!$C$10:$C$375,Configuracion!$A$10:$A$375,"&gt;="&amp;B34,Configuracion!$A$10:$A$375,"&lt;="&amp;C34))</x:f>
      </x:c>
      <x:c r="I34" s="8" t="str">
        <x:f>IF(G34&lt;&gt;"OK","",IF(D34="Cancelada","No aplica",IF(COUNTIFS($A$5:$A$204,A34,$B$5:$B$204,"&lt;="&amp;C34,$C$5:$C$204,"&gt;="&amp;B34,$D$5:$D$204,"&lt;&gt;Cancelada",$G$5:$G$204,"OK")&gt;1,"Solape: revisar","Sin solape")))</x:f>
      </x:c>
    </x:row>
    <x:row r="35" ht="25" customHeight="1">
      <x:c r="A35" s="7"/>
      <x:c r="B35" s="11"/>
      <x:c r="C35" s="11"/>
      <x:c r="D35" s="7"/>
      <x:c r="E35" s="7"/>
      <x:c r="F35" s="2"/>
      <x:c r="G35" s="8" t="str">
        <x:f>IF(COUNTA(A35:E35)=0,"",IF(Configuracion!$B$7&lt;&gt;"OK","Revisar ajustes",IF(OR(A35="",NOT(ISNUMBER(B35)),NOT(ISNUMBER(C35)),AND(D35&lt;&gt;"Pendiente",D35&lt;&gt;"Aprobada",D35&lt;&gt;"Cancelada")),"Revisar datos",IF(OR(B35&lt;&gt;INT(B35),C35&lt;&gt;INT(C35),B35&gt;C35,B35&lt;DATE(Configuracion!$B$4,1,1),C35&gt;DATE(Configuracion!$B$4,12,31)),"Revisar fechas",IF(COUNTIF(Resumen!$A$9:$A$38,A35)&lt;&gt;1,"Revisar ID empleado","OK")))))</x:f>
      </x:c>
      <x:c r="H35" s="10" t="str">
        <x:f>IF(G35&lt;&gt;"OK","",SUMIFS(Configuracion!$C$10:$C$375,Configuracion!$A$10:$A$375,"&gt;="&amp;B35,Configuracion!$A$10:$A$375,"&lt;="&amp;C35))</x:f>
      </x:c>
      <x:c r="I35" s="8" t="str">
        <x:f>IF(G35&lt;&gt;"OK","",IF(D35="Cancelada","No aplica",IF(COUNTIFS($A$5:$A$204,A35,$B$5:$B$204,"&lt;="&amp;C35,$C$5:$C$204,"&gt;="&amp;B35,$D$5:$D$204,"&lt;&gt;Cancelada",$G$5:$G$204,"OK")&gt;1,"Solape: revisar","Sin solape")))</x:f>
      </x:c>
    </x:row>
    <x:row r="36" ht="25" customHeight="1">
      <x:c r="A36" s="7"/>
      <x:c r="B36" s="11"/>
      <x:c r="C36" s="11"/>
      <x:c r="D36" s="7"/>
      <x:c r="E36" s="7"/>
      <x:c r="F36" s="2"/>
      <x:c r="G36" s="8" t="str">
        <x:f>IF(COUNTA(A36:E36)=0,"",IF(Configuracion!$B$7&lt;&gt;"OK","Revisar ajustes",IF(OR(A36="",NOT(ISNUMBER(B36)),NOT(ISNUMBER(C36)),AND(D36&lt;&gt;"Pendiente",D36&lt;&gt;"Aprobada",D36&lt;&gt;"Cancelada")),"Revisar datos",IF(OR(B36&lt;&gt;INT(B36),C36&lt;&gt;INT(C36),B36&gt;C36,B36&lt;DATE(Configuracion!$B$4,1,1),C36&gt;DATE(Configuracion!$B$4,12,31)),"Revisar fechas",IF(COUNTIF(Resumen!$A$9:$A$38,A36)&lt;&gt;1,"Revisar ID empleado","OK")))))</x:f>
      </x:c>
      <x:c r="H36" s="10" t="str">
        <x:f>IF(G36&lt;&gt;"OK","",SUMIFS(Configuracion!$C$10:$C$375,Configuracion!$A$10:$A$375,"&gt;="&amp;B36,Configuracion!$A$10:$A$375,"&lt;="&amp;C36))</x:f>
      </x:c>
      <x:c r="I36" s="8" t="str">
        <x:f>IF(G36&lt;&gt;"OK","",IF(D36="Cancelada","No aplica",IF(COUNTIFS($A$5:$A$204,A36,$B$5:$B$204,"&lt;="&amp;C36,$C$5:$C$204,"&gt;="&amp;B36,$D$5:$D$204,"&lt;&gt;Cancelada",$G$5:$G$204,"OK")&gt;1,"Solape: revisar","Sin solape")))</x:f>
      </x:c>
    </x:row>
    <x:row r="37" ht="25" customHeight="1">
      <x:c r="A37" s="7"/>
      <x:c r="B37" s="11"/>
      <x:c r="C37" s="11"/>
      <x:c r="D37" s="7"/>
      <x:c r="E37" s="7"/>
      <x:c r="F37" s="2"/>
      <x:c r="G37" s="8" t="str">
        <x:f>IF(COUNTA(A37:E37)=0,"",IF(Configuracion!$B$7&lt;&gt;"OK","Revisar ajustes",IF(OR(A37="",NOT(ISNUMBER(B37)),NOT(ISNUMBER(C37)),AND(D37&lt;&gt;"Pendiente",D37&lt;&gt;"Aprobada",D37&lt;&gt;"Cancelada")),"Revisar datos",IF(OR(B37&lt;&gt;INT(B37),C37&lt;&gt;INT(C37),B37&gt;C37,B37&lt;DATE(Configuracion!$B$4,1,1),C37&gt;DATE(Configuracion!$B$4,12,31)),"Revisar fechas",IF(COUNTIF(Resumen!$A$9:$A$38,A37)&lt;&gt;1,"Revisar ID empleado","OK")))))</x:f>
      </x:c>
      <x:c r="H37" s="10" t="str">
        <x:f>IF(G37&lt;&gt;"OK","",SUMIFS(Configuracion!$C$10:$C$375,Configuracion!$A$10:$A$375,"&gt;="&amp;B37,Configuracion!$A$10:$A$375,"&lt;="&amp;C37))</x:f>
      </x:c>
      <x:c r="I37" s="8" t="str">
        <x:f>IF(G37&lt;&gt;"OK","",IF(D37="Cancelada","No aplica",IF(COUNTIFS($A$5:$A$204,A37,$B$5:$B$204,"&lt;="&amp;C37,$C$5:$C$204,"&gt;="&amp;B37,$D$5:$D$204,"&lt;&gt;Cancelada",$G$5:$G$204,"OK")&gt;1,"Solape: revisar","Sin solape")))</x:f>
      </x:c>
    </x:row>
    <x:row r="38" ht="25" customHeight="1">
      <x:c r="A38" s="7"/>
      <x:c r="B38" s="11"/>
      <x:c r="C38" s="11"/>
      <x:c r="D38" s="7"/>
      <x:c r="E38" s="7"/>
      <x:c r="F38" s="2"/>
      <x:c r="G38" s="8" t="str">
        <x:f>IF(COUNTA(A38:E38)=0,"",IF(Configuracion!$B$7&lt;&gt;"OK","Revisar ajustes",IF(OR(A38="",NOT(ISNUMBER(B38)),NOT(ISNUMBER(C38)),AND(D38&lt;&gt;"Pendiente",D38&lt;&gt;"Aprobada",D38&lt;&gt;"Cancelada")),"Revisar datos",IF(OR(B38&lt;&gt;INT(B38),C38&lt;&gt;INT(C38),B38&gt;C38,B38&lt;DATE(Configuracion!$B$4,1,1),C38&gt;DATE(Configuracion!$B$4,12,31)),"Revisar fechas",IF(COUNTIF(Resumen!$A$9:$A$38,A38)&lt;&gt;1,"Revisar ID empleado","OK")))))</x:f>
      </x:c>
      <x:c r="H38" s="10" t="str">
        <x:f>IF(G38&lt;&gt;"OK","",SUMIFS(Configuracion!$C$10:$C$375,Configuracion!$A$10:$A$375,"&gt;="&amp;B38,Configuracion!$A$10:$A$375,"&lt;="&amp;C38))</x:f>
      </x:c>
      <x:c r="I38" s="8" t="str">
        <x:f>IF(G38&lt;&gt;"OK","",IF(D38="Cancelada","No aplica",IF(COUNTIFS($A$5:$A$204,A38,$B$5:$B$204,"&lt;="&amp;C38,$C$5:$C$204,"&gt;="&amp;B38,$D$5:$D$204,"&lt;&gt;Cancelada",$G$5:$G$204,"OK")&gt;1,"Solape: revisar","Sin solape")))</x:f>
      </x:c>
    </x:row>
    <x:row r="39" ht="25" customHeight="1">
      <x:c r="A39" s="7"/>
      <x:c r="B39" s="11"/>
      <x:c r="C39" s="11"/>
      <x:c r="D39" s="7"/>
      <x:c r="E39" s="7"/>
      <x:c r="F39" s="2"/>
      <x:c r="G39" s="8" t="str">
        <x:f>IF(COUNTA(A39:E39)=0,"",IF(Configuracion!$B$7&lt;&gt;"OK","Revisar ajustes",IF(OR(A39="",NOT(ISNUMBER(B39)),NOT(ISNUMBER(C39)),AND(D39&lt;&gt;"Pendiente",D39&lt;&gt;"Aprobada",D39&lt;&gt;"Cancelada")),"Revisar datos",IF(OR(B39&lt;&gt;INT(B39),C39&lt;&gt;INT(C39),B39&gt;C39,B39&lt;DATE(Configuracion!$B$4,1,1),C39&gt;DATE(Configuracion!$B$4,12,31)),"Revisar fechas",IF(COUNTIF(Resumen!$A$9:$A$38,A39)&lt;&gt;1,"Revisar ID empleado","OK")))))</x:f>
      </x:c>
      <x:c r="H39" s="10" t="str">
        <x:f>IF(G39&lt;&gt;"OK","",SUMIFS(Configuracion!$C$10:$C$375,Configuracion!$A$10:$A$375,"&gt;="&amp;B39,Configuracion!$A$10:$A$375,"&lt;="&amp;C39))</x:f>
      </x:c>
      <x:c r="I39" s="8" t="str">
        <x:f>IF(G39&lt;&gt;"OK","",IF(D39="Cancelada","No aplica",IF(COUNTIFS($A$5:$A$204,A39,$B$5:$B$204,"&lt;="&amp;C39,$C$5:$C$204,"&gt;="&amp;B39,$D$5:$D$204,"&lt;&gt;Cancelada",$G$5:$G$204,"OK")&gt;1,"Solape: revisar","Sin solape")))</x:f>
      </x:c>
    </x:row>
    <x:row r="40" ht="25" customHeight="1">
      <x:c r="A40" s="7"/>
      <x:c r="B40" s="11"/>
      <x:c r="C40" s="11"/>
      <x:c r="D40" s="7"/>
      <x:c r="E40" s="7"/>
      <x:c r="F40" s="2"/>
      <x:c r="G40" s="8" t="str">
        <x:f>IF(COUNTA(A40:E40)=0,"",IF(Configuracion!$B$7&lt;&gt;"OK","Revisar ajustes",IF(OR(A40="",NOT(ISNUMBER(B40)),NOT(ISNUMBER(C40)),AND(D40&lt;&gt;"Pendiente",D40&lt;&gt;"Aprobada",D40&lt;&gt;"Cancelada")),"Revisar datos",IF(OR(B40&lt;&gt;INT(B40),C40&lt;&gt;INT(C40),B40&gt;C40,B40&lt;DATE(Configuracion!$B$4,1,1),C40&gt;DATE(Configuracion!$B$4,12,31)),"Revisar fechas",IF(COUNTIF(Resumen!$A$9:$A$38,A40)&lt;&gt;1,"Revisar ID empleado","OK")))))</x:f>
      </x:c>
      <x:c r="H40" s="10" t="str">
        <x:f>IF(G40&lt;&gt;"OK","",SUMIFS(Configuracion!$C$10:$C$375,Configuracion!$A$10:$A$375,"&gt;="&amp;B40,Configuracion!$A$10:$A$375,"&lt;="&amp;C40))</x:f>
      </x:c>
      <x:c r="I40" s="8" t="str">
        <x:f>IF(G40&lt;&gt;"OK","",IF(D40="Cancelada","No aplica",IF(COUNTIFS($A$5:$A$204,A40,$B$5:$B$204,"&lt;="&amp;C40,$C$5:$C$204,"&gt;="&amp;B40,$D$5:$D$204,"&lt;&gt;Cancelada",$G$5:$G$204,"OK")&gt;1,"Solape: revisar","Sin solape")))</x:f>
      </x:c>
    </x:row>
    <x:row r="41" ht="25" customHeight="1">
      <x:c r="A41" s="7"/>
      <x:c r="B41" s="11"/>
      <x:c r="C41" s="11"/>
      <x:c r="D41" s="7"/>
      <x:c r="E41" s="7"/>
      <x:c r="F41" s="2"/>
      <x:c r="G41" s="8" t="str">
        <x:f>IF(COUNTA(A41:E41)=0,"",IF(Configuracion!$B$7&lt;&gt;"OK","Revisar ajustes",IF(OR(A41="",NOT(ISNUMBER(B41)),NOT(ISNUMBER(C41)),AND(D41&lt;&gt;"Pendiente",D41&lt;&gt;"Aprobada",D41&lt;&gt;"Cancelada")),"Revisar datos",IF(OR(B41&lt;&gt;INT(B41),C41&lt;&gt;INT(C41),B41&gt;C41,B41&lt;DATE(Configuracion!$B$4,1,1),C41&gt;DATE(Configuracion!$B$4,12,31)),"Revisar fechas",IF(COUNTIF(Resumen!$A$9:$A$38,A41)&lt;&gt;1,"Revisar ID empleado","OK")))))</x:f>
      </x:c>
      <x:c r="H41" s="10" t="str">
        <x:f>IF(G41&lt;&gt;"OK","",SUMIFS(Configuracion!$C$10:$C$375,Configuracion!$A$10:$A$375,"&gt;="&amp;B41,Configuracion!$A$10:$A$375,"&lt;="&amp;C41))</x:f>
      </x:c>
      <x:c r="I41" s="8" t="str">
        <x:f>IF(G41&lt;&gt;"OK","",IF(D41="Cancelada","No aplica",IF(COUNTIFS($A$5:$A$204,A41,$B$5:$B$204,"&lt;="&amp;C41,$C$5:$C$204,"&gt;="&amp;B41,$D$5:$D$204,"&lt;&gt;Cancelada",$G$5:$G$204,"OK")&gt;1,"Solape: revisar","Sin solape")))</x:f>
      </x:c>
    </x:row>
    <x:row r="42" ht="25" customHeight="1">
      <x:c r="A42" s="7"/>
      <x:c r="B42" s="11"/>
      <x:c r="C42" s="11"/>
      <x:c r="D42" s="7"/>
      <x:c r="E42" s="7"/>
      <x:c r="F42" s="2"/>
      <x:c r="G42" s="8" t="str">
        <x:f>IF(COUNTA(A42:E42)=0,"",IF(Configuracion!$B$7&lt;&gt;"OK","Revisar ajustes",IF(OR(A42="",NOT(ISNUMBER(B42)),NOT(ISNUMBER(C42)),AND(D42&lt;&gt;"Pendiente",D42&lt;&gt;"Aprobada",D42&lt;&gt;"Cancelada")),"Revisar datos",IF(OR(B42&lt;&gt;INT(B42),C42&lt;&gt;INT(C42),B42&gt;C42,B42&lt;DATE(Configuracion!$B$4,1,1),C42&gt;DATE(Configuracion!$B$4,12,31)),"Revisar fechas",IF(COUNTIF(Resumen!$A$9:$A$38,A42)&lt;&gt;1,"Revisar ID empleado","OK")))))</x:f>
      </x:c>
      <x:c r="H42" s="10" t="str">
        <x:f>IF(G42&lt;&gt;"OK","",SUMIFS(Configuracion!$C$10:$C$375,Configuracion!$A$10:$A$375,"&gt;="&amp;B42,Configuracion!$A$10:$A$375,"&lt;="&amp;C42))</x:f>
      </x:c>
      <x:c r="I42" s="8" t="str">
        <x:f>IF(G42&lt;&gt;"OK","",IF(D42="Cancelada","No aplica",IF(COUNTIFS($A$5:$A$204,A42,$B$5:$B$204,"&lt;="&amp;C42,$C$5:$C$204,"&gt;="&amp;B42,$D$5:$D$204,"&lt;&gt;Cancelada",$G$5:$G$204,"OK")&gt;1,"Solape: revisar","Sin solape")))</x:f>
      </x:c>
    </x:row>
    <x:row r="43" ht="25" customHeight="1">
      <x:c r="A43" s="7"/>
      <x:c r="B43" s="11"/>
      <x:c r="C43" s="11"/>
      <x:c r="D43" s="7"/>
      <x:c r="E43" s="7"/>
      <x:c r="F43" s="2"/>
      <x:c r="G43" s="8" t="str">
        <x:f>IF(COUNTA(A43:E43)=0,"",IF(Configuracion!$B$7&lt;&gt;"OK","Revisar ajustes",IF(OR(A43="",NOT(ISNUMBER(B43)),NOT(ISNUMBER(C43)),AND(D43&lt;&gt;"Pendiente",D43&lt;&gt;"Aprobada",D43&lt;&gt;"Cancelada")),"Revisar datos",IF(OR(B43&lt;&gt;INT(B43),C43&lt;&gt;INT(C43),B43&gt;C43,B43&lt;DATE(Configuracion!$B$4,1,1),C43&gt;DATE(Configuracion!$B$4,12,31)),"Revisar fechas",IF(COUNTIF(Resumen!$A$9:$A$38,A43)&lt;&gt;1,"Revisar ID empleado","OK")))))</x:f>
      </x:c>
      <x:c r="H43" s="10" t="str">
        <x:f>IF(G43&lt;&gt;"OK","",SUMIFS(Configuracion!$C$10:$C$375,Configuracion!$A$10:$A$375,"&gt;="&amp;B43,Configuracion!$A$10:$A$375,"&lt;="&amp;C43))</x:f>
      </x:c>
      <x:c r="I43" s="8" t="str">
        <x:f>IF(G43&lt;&gt;"OK","",IF(D43="Cancelada","No aplica",IF(COUNTIFS($A$5:$A$204,A43,$B$5:$B$204,"&lt;="&amp;C43,$C$5:$C$204,"&gt;="&amp;B43,$D$5:$D$204,"&lt;&gt;Cancelada",$G$5:$G$204,"OK")&gt;1,"Solape: revisar","Sin solape")))</x:f>
      </x:c>
    </x:row>
    <x:row r="44" ht="25" customHeight="1">
      <x:c r="A44" s="7"/>
      <x:c r="B44" s="11"/>
      <x:c r="C44" s="11"/>
      <x:c r="D44" s="7"/>
      <x:c r="E44" s="7"/>
      <x:c r="F44" s="2"/>
      <x:c r="G44" s="8" t="str">
        <x:f>IF(COUNTA(A44:E44)=0,"",IF(Configuracion!$B$7&lt;&gt;"OK","Revisar ajustes",IF(OR(A44="",NOT(ISNUMBER(B44)),NOT(ISNUMBER(C44)),AND(D44&lt;&gt;"Pendiente",D44&lt;&gt;"Aprobada",D44&lt;&gt;"Cancelada")),"Revisar datos",IF(OR(B44&lt;&gt;INT(B44),C44&lt;&gt;INT(C44),B44&gt;C44,B44&lt;DATE(Configuracion!$B$4,1,1),C44&gt;DATE(Configuracion!$B$4,12,31)),"Revisar fechas",IF(COUNTIF(Resumen!$A$9:$A$38,A44)&lt;&gt;1,"Revisar ID empleado","OK")))))</x:f>
      </x:c>
      <x:c r="H44" s="10" t="str">
        <x:f>IF(G44&lt;&gt;"OK","",SUMIFS(Configuracion!$C$10:$C$375,Configuracion!$A$10:$A$375,"&gt;="&amp;B44,Configuracion!$A$10:$A$375,"&lt;="&amp;C44))</x:f>
      </x:c>
      <x:c r="I44" s="8" t="str">
        <x:f>IF(G44&lt;&gt;"OK","",IF(D44="Cancelada","No aplica",IF(COUNTIFS($A$5:$A$204,A44,$B$5:$B$204,"&lt;="&amp;C44,$C$5:$C$204,"&gt;="&amp;B44,$D$5:$D$204,"&lt;&gt;Cancelada",$G$5:$G$204,"OK")&gt;1,"Solape: revisar","Sin solape")))</x:f>
      </x:c>
    </x:row>
    <x:row r="45" ht="25" customHeight="1">
      <x:c r="A45" s="7"/>
      <x:c r="B45" s="11"/>
      <x:c r="C45" s="11"/>
      <x:c r="D45" s="7"/>
      <x:c r="E45" s="7"/>
      <x:c r="F45" s="2"/>
      <x:c r="G45" s="8" t="str">
        <x:f>IF(COUNTA(A45:E45)=0,"",IF(Configuracion!$B$7&lt;&gt;"OK","Revisar ajustes",IF(OR(A45="",NOT(ISNUMBER(B45)),NOT(ISNUMBER(C45)),AND(D45&lt;&gt;"Pendiente",D45&lt;&gt;"Aprobada",D45&lt;&gt;"Cancelada")),"Revisar datos",IF(OR(B45&lt;&gt;INT(B45),C45&lt;&gt;INT(C45),B45&gt;C45,B45&lt;DATE(Configuracion!$B$4,1,1),C45&gt;DATE(Configuracion!$B$4,12,31)),"Revisar fechas",IF(COUNTIF(Resumen!$A$9:$A$38,A45)&lt;&gt;1,"Revisar ID empleado","OK")))))</x:f>
      </x:c>
      <x:c r="H45" s="10" t="str">
        <x:f>IF(G45&lt;&gt;"OK","",SUMIFS(Configuracion!$C$10:$C$375,Configuracion!$A$10:$A$375,"&gt;="&amp;B45,Configuracion!$A$10:$A$375,"&lt;="&amp;C45))</x:f>
      </x:c>
      <x:c r="I45" s="8" t="str">
        <x:f>IF(G45&lt;&gt;"OK","",IF(D45="Cancelada","No aplica",IF(COUNTIFS($A$5:$A$204,A45,$B$5:$B$204,"&lt;="&amp;C45,$C$5:$C$204,"&gt;="&amp;B45,$D$5:$D$204,"&lt;&gt;Cancelada",$G$5:$G$204,"OK")&gt;1,"Solape: revisar","Sin solape")))</x:f>
      </x:c>
    </x:row>
    <x:row r="46" ht="25" customHeight="1">
      <x:c r="A46" s="7"/>
      <x:c r="B46" s="11"/>
      <x:c r="C46" s="11"/>
      <x:c r="D46" s="7"/>
      <x:c r="E46" s="7"/>
      <x:c r="F46" s="2"/>
      <x:c r="G46" s="8" t="str">
        <x:f>IF(COUNTA(A46:E46)=0,"",IF(Configuracion!$B$7&lt;&gt;"OK","Revisar ajustes",IF(OR(A46="",NOT(ISNUMBER(B46)),NOT(ISNUMBER(C46)),AND(D46&lt;&gt;"Pendiente",D46&lt;&gt;"Aprobada",D46&lt;&gt;"Cancelada")),"Revisar datos",IF(OR(B46&lt;&gt;INT(B46),C46&lt;&gt;INT(C46),B46&gt;C46,B46&lt;DATE(Configuracion!$B$4,1,1),C46&gt;DATE(Configuracion!$B$4,12,31)),"Revisar fechas",IF(COUNTIF(Resumen!$A$9:$A$38,A46)&lt;&gt;1,"Revisar ID empleado","OK")))))</x:f>
      </x:c>
      <x:c r="H46" s="10" t="str">
        <x:f>IF(G46&lt;&gt;"OK","",SUMIFS(Configuracion!$C$10:$C$375,Configuracion!$A$10:$A$375,"&gt;="&amp;B46,Configuracion!$A$10:$A$375,"&lt;="&amp;C46))</x:f>
      </x:c>
      <x:c r="I46" s="8" t="str">
        <x:f>IF(G46&lt;&gt;"OK","",IF(D46="Cancelada","No aplica",IF(COUNTIFS($A$5:$A$204,A46,$B$5:$B$204,"&lt;="&amp;C46,$C$5:$C$204,"&gt;="&amp;B46,$D$5:$D$204,"&lt;&gt;Cancelada",$G$5:$G$204,"OK")&gt;1,"Solape: revisar","Sin solape")))</x:f>
      </x:c>
    </x:row>
    <x:row r="47" ht="25" customHeight="1">
      <x:c r="A47" s="7"/>
      <x:c r="B47" s="11"/>
      <x:c r="C47" s="11"/>
      <x:c r="D47" s="7"/>
      <x:c r="E47" s="7"/>
      <x:c r="F47" s="2"/>
      <x:c r="G47" s="8" t="str">
        <x:f>IF(COUNTA(A47:E47)=0,"",IF(Configuracion!$B$7&lt;&gt;"OK","Revisar ajustes",IF(OR(A47="",NOT(ISNUMBER(B47)),NOT(ISNUMBER(C47)),AND(D47&lt;&gt;"Pendiente",D47&lt;&gt;"Aprobada",D47&lt;&gt;"Cancelada")),"Revisar datos",IF(OR(B47&lt;&gt;INT(B47),C47&lt;&gt;INT(C47),B47&gt;C47,B47&lt;DATE(Configuracion!$B$4,1,1),C47&gt;DATE(Configuracion!$B$4,12,31)),"Revisar fechas",IF(COUNTIF(Resumen!$A$9:$A$38,A47)&lt;&gt;1,"Revisar ID empleado","OK")))))</x:f>
      </x:c>
      <x:c r="H47" s="10" t="str">
        <x:f>IF(G47&lt;&gt;"OK","",SUMIFS(Configuracion!$C$10:$C$375,Configuracion!$A$10:$A$375,"&gt;="&amp;B47,Configuracion!$A$10:$A$375,"&lt;="&amp;C47))</x:f>
      </x:c>
      <x:c r="I47" s="8" t="str">
        <x:f>IF(G47&lt;&gt;"OK","",IF(D47="Cancelada","No aplica",IF(COUNTIFS($A$5:$A$204,A47,$B$5:$B$204,"&lt;="&amp;C47,$C$5:$C$204,"&gt;="&amp;B47,$D$5:$D$204,"&lt;&gt;Cancelada",$G$5:$G$204,"OK")&gt;1,"Solape: revisar","Sin solape")))</x:f>
      </x:c>
    </x:row>
    <x:row r="48" ht="25" customHeight="1">
      <x:c r="A48" s="7"/>
      <x:c r="B48" s="11"/>
      <x:c r="C48" s="11"/>
      <x:c r="D48" s="7"/>
      <x:c r="E48" s="7"/>
      <x:c r="F48" s="2"/>
      <x:c r="G48" s="8" t="str">
        <x:f>IF(COUNTA(A48:E48)=0,"",IF(Configuracion!$B$7&lt;&gt;"OK","Revisar ajustes",IF(OR(A48="",NOT(ISNUMBER(B48)),NOT(ISNUMBER(C48)),AND(D48&lt;&gt;"Pendiente",D48&lt;&gt;"Aprobada",D48&lt;&gt;"Cancelada")),"Revisar datos",IF(OR(B48&lt;&gt;INT(B48),C48&lt;&gt;INT(C48),B48&gt;C48,B48&lt;DATE(Configuracion!$B$4,1,1),C48&gt;DATE(Configuracion!$B$4,12,31)),"Revisar fechas",IF(COUNTIF(Resumen!$A$9:$A$38,A48)&lt;&gt;1,"Revisar ID empleado","OK")))))</x:f>
      </x:c>
      <x:c r="H48" s="10" t="str">
        <x:f>IF(G48&lt;&gt;"OK","",SUMIFS(Configuracion!$C$10:$C$375,Configuracion!$A$10:$A$375,"&gt;="&amp;B48,Configuracion!$A$10:$A$375,"&lt;="&amp;C48))</x:f>
      </x:c>
      <x:c r="I48" s="8" t="str">
        <x:f>IF(G48&lt;&gt;"OK","",IF(D48="Cancelada","No aplica",IF(COUNTIFS($A$5:$A$204,A48,$B$5:$B$204,"&lt;="&amp;C48,$C$5:$C$204,"&gt;="&amp;B48,$D$5:$D$204,"&lt;&gt;Cancelada",$G$5:$G$204,"OK")&gt;1,"Solape: revisar","Sin solape")))</x:f>
      </x:c>
    </x:row>
    <x:row r="49" ht="25" customHeight="1">
      <x:c r="A49" s="7"/>
      <x:c r="B49" s="11"/>
      <x:c r="C49" s="11"/>
      <x:c r="D49" s="7"/>
      <x:c r="E49" s="7"/>
      <x:c r="F49" s="2"/>
      <x:c r="G49" s="8" t="str">
        <x:f>IF(COUNTA(A49:E49)=0,"",IF(Configuracion!$B$7&lt;&gt;"OK","Revisar ajustes",IF(OR(A49="",NOT(ISNUMBER(B49)),NOT(ISNUMBER(C49)),AND(D49&lt;&gt;"Pendiente",D49&lt;&gt;"Aprobada",D49&lt;&gt;"Cancelada")),"Revisar datos",IF(OR(B49&lt;&gt;INT(B49),C49&lt;&gt;INT(C49),B49&gt;C49,B49&lt;DATE(Configuracion!$B$4,1,1),C49&gt;DATE(Configuracion!$B$4,12,31)),"Revisar fechas",IF(COUNTIF(Resumen!$A$9:$A$38,A49)&lt;&gt;1,"Revisar ID empleado","OK")))))</x:f>
      </x:c>
      <x:c r="H49" s="10" t="str">
        <x:f>IF(G49&lt;&gt;"OK","",SUMIFS(Configuracion!$C$10:$C$375,Configuracion!$A$10:$A$375,"&gt;="&amp;B49,Configuracion!$A$10:$A$375,"&lt;="&amp;C49))</x:f>
      </x:c>
      <x:c r="I49" s="8" t="str">
        <x:f>IF(G49&lt;&gt;"OK","",IF(D49="Cancelada","No aplica",IF(COUNTIFS($A$5:$A$204,A49,$B$5:$B$204,"&lt;="&amp;C49,$C$5:$C$204,"&gt;="&amp;B49,$D$5:$D$204,"&lt;&gt;Cancelada",$G$5:$G$204,"OK")&gt;1,"Solape: revisar","Sin solape")))</x:f>
      </x:c>
    </x:row>
    <x:row r="50" ht="25" customHeight="1">
      <x:c r="A50" s="7"/>
      <x:c r="B50" s="11"/>
      <x:c r="C50" s="11"/>
      <x:c r="D50" s="7"/>
      <x:c r="E50" s="7"/>
      <x:c r="F50" s="2"/>
      <x:c r="G50" s="8" t="str">
        <x:f>IF(COUNTA(A50:E50)=0,"",IF(Configuracion!$B$7&lt;&gt;"OK","Revisar ajustes",IF(OR(A50="",NOT(ISNUMBER(B50)),NOT(ISNUMBER(C50)),AND(D50&lt;&gt;"Pendiente",D50&lt;&gt;"Aprobada",D50&lt;&gt;"Cancelada")),"Revisar datos",IF(OR(B50&lt;&gt;INT(B50),C50&lt;&gt;INT(C50),B50&gt;C50,B50&lt;DATE(Configuracion!$B$4,1,1),C50&gt;DATE(Configuracion!$B$4,12,31)),"Revisar fechas",IF(COUNTIF(Resumen!$A$9:$A$38,A50)&lt;&gt;1,"Revisar ID empleado","OK")))))</x:f>
      </x:c>
      <x:c r="H50" s="10" t="str">
        <x:f>IF(G50&lt;&gt;"OK","",SUMIFS(Configuracion!$C$10:$C$375,Configuracion!$A$10:$A$375,"&gt;="&amp;B50,Configuracion!$A$10:$A$375,"&lt;="&amp;C50))</x:f>
      </x:c>
      <x:c r="I50" s="8" t="str">
        <x:f>IF(G50&lt;&gt;"OK","",IF(D50="Cancelada","No aplica",IF(COUNTIFS($A$5:$A$204,A50,$B$5:$B$204,"&lt;="&amp;C50,$C$5:$C$204,"&gt;="&amp;B50,$D$5:$D$204,"&lt;&gt;Cancelada",$G$5:$G$204,"OK")&gt;1,"Solape: revisar","Sin solape")))</x:f>
      </x:c>
    </x:row>
    <x:row r="51" ht="25" customHeight="1">
      <x:c r="A51" s="7"/>
      <x:c r="B51" s="11"/>
      <x:c r="C51" s="11"/>
      <x:c r="D51" s="7"/>
      <x:c r="E51" s="7"/>
      <x:c r="F51" s="2"/>
      <x:c r="G51" s="8" t="str">
        <x:f>IF(COUNTA(A51:E51)=0,"",IF(Configuracion!$B$7&lt;&gt;"OK","Revisar ajustes",IF(OR(A51="",NOT(ISNUMBER(B51)),NOT(ISNUMBER(C51)),AND(D51&lt;&gt;"Pendiente",D51&lt;&gt;"Aprobada",D51&lt;&gt;"Cancelada")),"Revisar datos",IF(OR(B51&lt;&gt;INT(B51),C51&lt;&gt;INT(C51),B51&gt;C51,B51&lt;DATE(Configuracion!$B$4,1,1),C51&gt;DATE(Configuracion!$B$4,12,31)),"Revisar fechas",IF(COUNTIF(Resumen!$A$9:$A$38,A51)&lt;&gt;1,"Revisar ID empleado","OK")))))</x:f>
      </x:c>
      <x:c r="H51" s="10" t="str">
        <x:f>IF(G51&lt;&gt;"OK","",SUMIFS(Configuracion!$C$10:$C$375,Configuracion!$A$10:$A$375,"&gt;="&amp;B51,Configuracion!$A$10:$A$375,"&lt;="&amp;C51))</x:f>
      </x:c>
      <x:c r="I51" s="8" t="str">
        <x:f>IF(G51&lt;&gt;"OK","",IF(D51="Cancelada","No aplica",IF(COUNTIFS($A$5:$A$204,A51,$B$5:$B$204,"&lt;="&amp;C51,$C$5:$C$204,"&gt;="&amp;B51,$D$5:$D$204,"&lt;&gt;Cancelada",$G$5:$G$204,"OK")&gt;1,"Solape: revisar","Sin solape")))</x:f>
      </x:c>
    </x:row>
    <x:row r="52" ht="25" customHeight="1">
      <x:c r="A52" s="7"/>
      <x:c r="B52" s="11"/>
      <x:c r="C52" s="11"/>
      <x:c r="D52" s="7"/>
      <x:c r="E52" s="7"/>
      <x:c r="F52" s="2"/>
      <x:c r="G52" s="8" t="str">
        <x:f>IF(COUNTA(A52:E52)=0,"",IF(Configuracion!$B$7&lt;&gt;"OK","Revisar ajustes",IF(OR(A52="",NOT(ISNUMBER(B52)),NOT(ISNUMBER(C52)),AND(D52&lt;&gt;"Pendiente",D52&lt;&gt;"Aprobada",D52&lt;&gt;"Cancelada")),"Revisar datos",IF(OR(B52&lt;&gt;INT(B52),C52&lt;&gt;INT(C52),B52&gt;C52,B52&lt;DATE(Configuracion!$B$4,1,1),C52&gt;DATE(Configuracion!$B$4,12,31)),"Revisar fechas",IF(COUNTIF(Resumen!$A$9:$A$38,A52)&lt;&gt;1,"Revisar ID empleado","OK")))))</x:f>
      </x:c>
      <x:c r="H52" s="10" t="str">
        <x:f>IF(G52&lt;&gt;"OK","",SUMIFS(Configuracion!$C$10:$C$375,Configuracion!$A$10:$A$375,"&gt;="&amp;B52,Configuracion!$A$10:$A$375,"&lt;="&amp;C52))</x:f>
      </x:c>
      <x:c r="I52" s="8" t="str">
        <x:f>IF(G52&lt;&gt;"OK","",IF(D52="Cancelada","No aplica",IF(COUNTIFS($A$5:$A$204,A52,$B$5:$B$204,"&lt;="&amp;C52,$C$5:$C$204,"&gt;="&amp;B52,$D$5:$D$204,"&lt;&gt;Cancelada",$G$5:$G$204,"OK")&gt;1,"Solape: revisar","Sin solape")))</x:f>
      </x:c>
    </x:row>
    <x:row r="53" ht="25" customHeight="1">
      <x:c r="A53" s="7"/>
      <x:c r="B53" s="11"/>
      <x:c r="C53" s="11"/>
      <x:c r="D53" s="7"/>
      <x:c r="E53" s="7"/>
      <x:c r="F53" s="2"/>
      <x:c r="G53" s="8" t="str">
        <x:f>IF(COUNTA(A53:E53)=0,"",IF(Configuracion!$B$7&lt;&gt;"OK","Revisar ajustes",IF(OR(A53="",NOT(ISNUMBER(B53)),NOT(ISNUMBER(C53)),AND(D53&lt;&gt;"Pendiente",D53&lt;&gt;"Aprobada",D53&lt;&gt;"Cancelada")),"Revisar datos",IF(OR(B53&lt;&gt;INT(B53),C53&lt;&gt;INT(C53),B53&gt;C53,B53&lt;DATE(Configuracion!$B$4,1,1),C53&gt;DATE(Configuracion!$B$4,12,31)),"Revisar fechas",IF(COUNTIF(Resumen!$A$9:$A$38,A53)&lt;&gt;1,"Revisar ID empleado","OK")))))</x:f>
      </x:c>
      <x:c r="H53" s="10" t="str">
        <x:f>IF(G53&lt;&gt;"OK","",SUMIFS(Configuracion!$C$10:$C$375,Configuracion!$A$10:$A$375,"&gt;="&amp;B53,Configuracion!$A$10:$A$375,"&lt;="&amp;C53))</x:f>
      </x:c>
      <x:c r="I53" s="8" t="str">
        <x:f>IF(G53&lt;&gt;"OK","",IF(D53="Cancelada","No aplica",IF(COUNTIFS($A$5:$A$204,A53,$B$5:$B$204,"&lt;="&amp;C53,$C$5:$C$204,"&gt;="&amp;B53,$D$5:$D$204,"&lt;&gt;Cancelada",$G$5:$G$204,"OK")&gt;1,"Solape: revisar","Sin solape")))</x:f>
      </x:c>
    </x:row>
    <x:row r="54" ht="25" customHeight="1">
      <x:c r="A54" s="7"/>
      <x:c r="B54" s="11"/>
      <x:c r="C54" s="11"/>
      <x:c r="D54" s="7"/>
      <x:c r="E54" s="7"/>
      <x:c r="F54" s="2"/>
      <x:c r="G54" s="8" t="str">
        <x:f>IF(COUNTA(A54:E54)=0,"",IF(Configuracion!$B$7&lt;&gt;"OK","Revisar ajustes",IF(OR(A54="",NOT(ISNUMBER(B54)),NOT(ISNUMBER(C54)),AND(D54&lt;&gt;"Pendiente",D54&lt;&gt;"Aprobada",D54&lt;&gt;"Cancelada")),"Revisar datos",IF(OR(B54&lt;&gt;INT(B54),C54&lt;&gt;INT(C54),B54&gt;C54,B54&lt;DATE(Configuracion!$B$4,1,1),C54&gt;DATE(Configuracion!$B$4,12,31)),"Revisar fechas",IF(COUNTIF(Resumen!$A$9:$A$38,A54)&lt;&gt;1,"Revisar ID empleado","OK")))))</x:f>
      </x:c>
      <x:c r="H54" s="10" t="str">
        <x:f>IF(G54&lt;&gt;"OK","",SUMIFS(Configuracion!$C$10:$C$375,Configuracion!$A$10:$A$375,"&gt;="&amp;B54,Configuracion!$A$10:$A$375,"&lt;="&amp;C54))</x:f>
      </x:c>
      <x:c r="I54" s="8" t="str">
        <x:f>IF(G54&lt;&gt;"OK","",IF(D54="Cancelada","No aplica",IF(COUNTIFS($A$5:$A$204,A54,$B$5:$B$204,"&lt;="&amp;C54,$C$5:$C$204,"&gt;="&amp;B54,$D$5:$D$204,"&lt;&gt;Cancelada",$G$5:$G$204,"OK")&gt;1,"Solape: revisar","Sin solape")))</x:f>
      </x:c>
    </x:row>
    <x:row r="55" ht="25" customHeight="1">
      <x:c r="A55" s="7"/>
      <x:c r="B55" s="11"/>
      <x:c r="C55" s="11"/>
      <x:c r="D55" s="7"/>
      <x:c r="E55" s="7"/>
      <x:c r="F55" s="2"/>
      <x:c r="G55" s="8" t="str">
        <x:f>IF(COUNTA(A55:E55)=0,"",IF(Configuracion!$B$7&lt;&gt;"OK","Revisar ajustes",IF(OR(A55="",NOT(ISNUMBER(B55)),NOT(ISNUMBER(C55)),AND(D55&lt;&gt;"Pendiente",D55&lt;&gt;"Aprobada",D55&lt;&gt;"Cancelada")),"Revisar datos",IF(OR(B55&lt;&gt;INT(B55),C55&lt;&gt;INT(C55),B55&gt;C55,B55&lt;DATE(Configuracion!$B$4,1,1),C55&gt;DATE(Configuracion!$B$4,12,31)),"Revisar fechas",IF(COUNTIF(Resumen!$A$9:$A$38,A55)&lt;&gt;1,"Revisar ID empleado","OK")))))</x:f>
      </x:c>
      <x:c r="H55" s="10" t="str">
        <x:f>IF(G55&lt;&gt;"OK","",SUMIFS(Configuracion!$C$10:$C$375,Configuracion!$A$10:$A$375,"&gt;="&amp;B55,Configuracion!$A$10:$A$375,"&lt;="&amp;C55))</x:f>
      </x:c>
      <x:c r="I55" s="8" t="str">
        <x:f>IF(G55&lt;&gt;"OK","",IF(D55="Cancelada","No aplica",IF(COUNTIFS($A$5:$A$204,A55,$B$5:$B$204,"&lt;="&amp;C55,$C$5:$C$204,"&gt;="&amp;B55,$D$5:$D$204,"&lt;&gt;Cancelada",$G$5:$G$204,"OK")&gt;1,"Solape: revisar","Sin solape")))</x:f>
      </x:c>
    </x:row>
    <x:row r="56" ht="25" customHeight="1">
      <x:c r="A56" s="7"/>
      <x:c r="B56" s="11"/>
      <x:c r="C56" s="11"/>
      <x:c r="D56" s="7"/>
      <x:c r="E56" s="7"/>
      <x:c r="F56" s="2"/>
      <x:c r="G56" s="8" t="str">
        <x:f>IF(COUNTA(A56:E56)=0,"",IF(Configuracion!$B$7&lt;&gt;"OK","Revisar ajustes",IF(OR(A56="",NOT(ISNUMBER(B56)),NOT(ISNUMBER(C56)),AND(D56&lt;&gt;"Pendiente",D56&lt;&gt;"Aprobada",D56&lt;&gt;"Cancelada")),"Revisar datos",IF(OR(B56&lt;&gt;INT(B56),C56&lt;&gt;INT(C56),B56&gt;C56,B56&lt;DATE(Configuracion!$B$4,1,1),C56&gt;DATE(Configuracion!$B$4,12,31)),"Revisar fechas",IF(COUNTIF(Resumen!$A$9:$A$38,A56)&lt;&gt;1,"Revisar ID empleado","OK")))))</x:f>
      </x:c>
      <x:c r="H56" s="10" t="str">
        <x:f>IF(G56&lt;&gt;"OK","",SUMIFS(Configuracion!$C$10:$C$375,Configuracion!$A$10:$A$375,"&gt;="&amp;B56,Configuracion!$A$10:$A$375,"&lt;="&amp;C56))</x:f>
      </x:c>
      <x:c r="I56" s="8" t="str">
        <x:f>IF(G56&lt;&gt;"OK","",IF(D56="Cancelada","No aplica",IF(COUNTIFS($A$5:$A$204,A56,$B$5:$B$204,"&lt;="&amp;C56,$C$5:$C$204,"&gt;="&amp;B56,$D$5:$D$204,"&lt;&gt;Cancelada",$G$5:$G$204,"OK")&gt;1,"Solape: revisar","Sin solape")))</x:f>
      </x:c>
    </x:row>
    <x:row r="57" ht="25" customHeight="1">
      <x:c r="A57" s="7"/>
      <x:c r="B57" s="11"/>
      <x:c r="C57" s="11"/>
      <x:c r="D57" s="7"/>
      <x:c r="E57" s="7"/>
      <x:c r="F57" s="2"/>
      <x:c r="G57" s="8" t="str">
        <x:f>IF(COUNTA(A57:E57)=0,"",IF(Configuracion!$B$7&lt;&gt;"OK","Revisar ajustes",IF(OR(A57="",NOT(ISNUMBER(B57)),NOT(ISNUMBER(C57)),AND(D57&lt;&gt;"Pendiente",D57&lt;&gt;"Aprobada",D57&lt;&gt;"Cancelada")),"Revisar datos",IF(OR(B57&lt;&gt;INT(B57),C57&lt;&gt;INT(C57),B57&gt;C57,B57&lt;DATE(Configuracion!$B$4,1,1),C57&gt;DATE(Configuracion!$B$4,12,31)),"Revisar fechas",IF(COUNTIF(Resumen!$A$9:$A$38,A57)&lt;&gt;1,"Revisar ID empleado","OK")))))</x:f>
      </x:c>
      <x:c r="H57" s="10" t="str">
        <x:f>IF(G57&lt;&gt;"OK","",SUMIFS(Configuracion!$C$10:$C$375,Configuracion!$A$10:$A$375,"&gt;="&amp;B57,Configuracion!$A$10:$A$375,"&lt;="&amp;C57))</x:f>
      </x:c>
      <x:c r="I57" s="8" t="str">
        <x:f>IF(G57&lt;&gt;"OK","",IF(D57="Cancelada","No aplica",IF(COUNTIFS($A$5:$A$204,A57,$B$5:$B$204,"&lt;="&amp;C57,$C$5:$C$204,"&gt;="&amp;B57,$D$5:$D$204,"&lt;&gt;Cancelada",$G$5:$G$204,"OK")&gt;1,"Solape: revisar","Sin solape")))</x:f>
      </x:c>
    </x:row>
    <x:row r="58" ht="25" customHeight="1">
      <x:c r="A58" s="7"/>
      <x:c r="B58" s="11"/>
      <x:c r="C58" s="11"/>
      <x:c r="D58" s="7"/>
      <x:c r="E58" s="7"/>
      <x:c r="F58" s="2"/>
      <x:c r="G58" s="8" t="str">
        <x:f>IF(COUNTA(A58:E58)=0,"",IF(Configuracion!$B$7&lt;&gt;"OK","Revisar ajustes",IF(OR(A58="",NOT(ISNUMBER(B58)),NOT(ISNUMBER(C58)),AND(D58&lt;&gt;"Pendiente",D58&lt;&gt;"Aprobada",D58&lt;&gt;"Cancelada")),"Revisar datos",IF(OR(B58&lt;&gt;INT(B58),C58&lt;&gt;INT(C58),B58&gt;C58,B58&lt;DATE(Configuracion!$B$4,1,1),C58&gt;DATE(Configuracion!$B$4,12,31)),"Revisar fechas",IF(COUNTIF(Resumen!$A$9:$A$38,A58)&lt;&gt;1,"Revisar ID empleado","OK")))))</x:f>
      </x:c>
      <x:c r="H58" s="10" t="str">
        <x:f>IF(G58&lt;&gt;"OK","",SUMIFS(Configuracion!$C$10:$C$375,Configuracion!$A$10:$A$375,"&gt;="&amp;B58,Configuracion!$A$10:$A$375,"&lt;="&amp;C58))</x:f>
      </x:c>
      <x:c r="I58" s="8" t="str">
        <x:f>IF(G58&lt;&gt;"OK","",IF(D58="Cancelada","No aplica",IF(COUNTIFS($A$5:$A$204,A58,$B$5:$B$204,"&lt;="&amp;C58,$C$5:$C$204,"&gt;="&amp;B58,$D$5:$D$204,"&lt;&gt;Cancelada",$G$5:$G$204,"OK")&gt;1,"Solape: revisar","Sin solape")))</x:f>
      </x:c>
    </x:row>
    <x:row r="59" ht="25" customHeight="1">
      <x:c r="A59" s="7"/>
      <x:c r="B59" s="11"/>
      <x:c r="C59" s="11"/>
      <x:c r="D59" s="7"/>
      <x:c r="E59" s="7"/>
      <x:c r="F59" s="2"/>
      <x:c r="G59" s="8" t="str">
        <x:f>IF(COUNTA(A59:E59)=0,"",IF(Configuracion!$B$7&lt;&gt;"OK","Revisar ajustes",IF(OR(A59="",NOT(ISNUMBER(B59)),NOT(ISNUMBER(C59)),AND(D59&lt;&gt;"Pendiente",D59&lt;&gt;"Aprobada",D59&lt;&gt;"Cancelada")),"Revisar datos",IF(OR(B59&lt;&gt;INT(B59),C59&lt;&gt;INT(C59),B59&gt;C59,B59&lt;DATE(Configuracion!$B$4,1,1),C59&gt;DATE(Configuracion!$B$4,12,31)),"Revisar fechas",IF(COUNTIF(Resumen!$A$9:$A$38,A59)&lt;&gt;1,"Revisar ID empleado","OK")))))</x:f>
      </x:c>
      <x:c r="H59" s="10" t="str">
        <x:f>IF(G59&lt;&gt;"OK","",SUMIFS(Configuracion!$C$10:$C$375,Configuracion!$A$10:$A$375,"&gt;="&amp;B59,Configuracion!$A$10:$A$375,"&lt;="&amp;C59))</x:f>
      </x:c>
      <x:c r="I59" s="8" t="str">
        <x:f>IF(G59&lt;&gt;"OK","",IF(D59="Cancelada","No aplica",IF(COUNTIFS($A$5:$A$204,A59,$B$5:$B$204,"&lt;="&amp;C59,$C$5:$C$204,"&gt;="&amp;B59,$D$5:$D$204,"&lt;&gt;Cancelada",$G$5:$G$204,"OK")&gt;1,"Solape: revisar","Sin solape")))</x:f>
      </x:c>
    </x:row>
    <x:row r="60" ht="25" customHeight="1">
      <x:c r="A60" s="7"/>
      <x:c r="B60" s="11"/>
      <x:c r="C60" s="11"/>
      <x:c r="D60" s="7"/>
      <x:c r="E60" s="7"/>
      <x:c r="F60" s="2"/>
      <x:c r="G60" s="8" t="str">
        <x:f>IF(COUNTA(A60:E60)=0,"",IF(Configuracion!$B$7&lt;&gt;"OK","Revisar ajustes",IF(OR(A60="",NOT(ISNUMBER(B60)),NOT(ISNUMBER(C60)),AND(D60&lt;&gt;"Pendiente",D60&lt;&gt;"Aprobada",D60&lt;&gt;"Cancelada")),"Revisar datos",IF(OR(B60&lt;&gt;INT(B60),C60&lt;&gt;INT(C60),B60&gt;C60,B60&lt;DATE(Configuracion!$B$4,1,1),C60&gt;DATE(Configuracion!$B$4,12,31)),"Revisar fechas",IF(COUNTIF(Resumen!$A$9:$A$38,A60)&lt;&gt;1,"Revisar ID empleado","OK")))))</x:f>
      </x:c>
      <x:c r="H60" s="10" t="str">
        <x:f>IF(G60&lt;&gt;"OK","",SUMIFS(Configuracion!$C$10:$C$375,Configuracion!$A$10:$A$375,"&gt;="&amp;B60,Configuracion!$A$10:$A$375,"&lt;="&amp;C60))</x:f>
      </x:c>
      <x:c r="I60" s="8" t="str">
        <x:f>IF(G60&lt;&gt;"OK","",IF(D60="Cancelada","No aplica",IF(COUNTIFS($A$5:$A$204,A60,$B$5:$B$204,"&lt;="&amp;C60,$C$5:$C$204,"&gt;="&amp;B60,$D$5:$D$204,"&lt;&gt;Cancelada",$G$5:$G$204,"OK")&gt;1,"Solape: revisar","Sin solape")))</x:f>
      </x:c>
    </x:row>
    <x:row r="61" ht="25" customHeight="1">
      <x:c r="A61" s="7"/>
      <x:c r="B61" s="11"/>
      <x:c r="C61" s="11"/>
      <x:c r="D61" s="7"/>
      <x:c r="E61" s="7"/>
      <x:c r="F61" s="2"/>
      <x:c r="G61" s="8" t="str">
        <x:f>IF(COUNTA(A61:E61)=0,"",IF(Configuracion!$B$7&lt;&gt;"OK","Revisar ajustes",IF(OR(A61="",NOT(ISNUMBER(B61)),NOT(ISNUMBER(C61)),AND(D61&lt;&gt;"Pendiente",D61&lt;&gt;"Aprobada",D61&lt;&gt;"Cancelada")),"Revisar datos",IF(OR(B61&lt;&gt;INT(B61),C61&lt;&gt;INT(C61),B61&gt;C61,B61&lt;DATE(Configuracion!$B$4,1,1),C61&gt;DATE(Configuracion!$B$4,12,31)),"Revisar fechas",IF(COUNTIF(Resumen!$A$9:$A$38,A61)&lt;&gt;1,"Revisar ID empleado","OK")))))</x:f>
      </x:c>
      <x:c r="H61" s="10" t="str">
        <x:f>IF(G61&lt;&gt;"OK","",SUMIFS(Configuracion!$C$10:$C$375,Configuracion!$A$10:$A$375,"&gt;="&amp;B61,Configuracion!$A$10:$A$375,"&lt;="&amp;C61))</x:f>
      </x:c>
      <x:c r="I61" s="8" t="str">
        <x:f>IF(G61&lt;&gt;"OK","",IF(D61="Cancelada","No aplica",IF(COUNTIFS($A$5:$A$204,A61,$B$5:$B$204,"&lt;="&amp;C61,$C$5:$C$204,"&gt;="&amp;B61,$D$5:$D$204,"&lt;&gt;Cancelada",$G$5:$G$204,"OK")&gt;1,"Solape: revisar","Sin solape")))</x:f>
      </x:c>
    </x:row>
    <x:row r="62" ht="25" customHeight="1">
      <x:c r="A62" s="7"/>
      <x:c r="B62" s="11"/>
      <x:c r="C62" s="11"/>
      <x:c r="D62" s="7"/>
      <x:c r="E62" s="7"/>
      <x:c r="F62" s="2"/>
      <x:c r="G62" s="8" t="str">
        <x:f>IF(COUNTA(A62:E62)=0,"",IF(Configuracion!$B$7&lt;&gt;"OK","Revisar ajustes",IF(OR(A62="",NOT(ISNUMBER(B62)),NOT(ISNUMBER(C62)),AND(D62&lt;&gt;"Pendiente",D62&lt;&gt;"Aprobada",D62&lt;&gt;"Cancelada")),"Revisar datos",IF(OR(B62&lt;&gt;INT(B62),C62&lt;&gt;INT(C62),B62&gt;C62,B62&lt;DATE(Configuracion!$B$4,1,1),C62&gt;DATE(Configuracion!$B$4,12,31)),"Revisar fechas",IF(COUNTIF(Resumen!$A$9:$A$38,A62)&lt;&gt;1,"Revisar ID empleado","OK")))))</x:f>
      </x:c>
      <x:c r="H62" s="10" t="str">
        <x:f>IF(G62&lt;&gt;"OK","",SUMIFS(Configuracion!$C$10:$C$375,Configuracion!$A$10:$A$375,"&gt;="&amp;B62,Configuracion!$A$10:$A$375,"&lt;="&amp;C62))</x:f>
      </x:c>
      <x:c r="I62" s="8" t="str">
        <x:f>IF(G62&lt;&gt;"OK","",IF(D62="Cancelada","No aplica",IF(COUNTIFS($A$5:$A$204,A62,$B$5:$B$204,"&lt;="&amp;C62,$C$5:$C$204,"&gt;="&amp;B62,$D$5:$D$204,"&lt;&gt;Cancelada",$G$5:$G$204,"OK")&gt;1,"Solape: revisar","Sin solape")))</x:f>
      </x:c>
    </x:row>
    <x:row r="63" ht="25" customHeight="1">
      <x:c r="A63" s="7"/>
      <x:c r="B63" s="11"/>
      <x:c r="C63" s="11"/>
      <x:c r="D63" s="7"/>
      <x:c r="E63" s="7"/>
      <x:c r="F63" s="2"/>
      <x:c r="G63" s="8" t="str">
        <x:f>IF(COUNTA(A63:E63)=0,"",IF(Configuracion!$B$7&lt;&gt;"OK","Revisar ajustes",IF(OR(A63="",NOT(ISNUMBER(B63)),NOT(ISNUMBER(C63)),AND(D63&lt;&gt;"Pendiente",D63&lt;&gt;"Aprobada",D63&lt;&gt;"Cancelada")),"Revisar datos",IF(OR(B63&lt;&gt;INT(B63),C63&lt;&gt;INT(C63),B63&gt;C63,B63&lt;DATE(Configuracion!$B$4,1,1),C63&gt;DATE(Configuracion!$B$4,12,31)),"Revisar fechas",IF(COUNTIF(Resumen!$A$9:$A$38,A63)&lt;&gt;1,"Revisar ID empleado","OK")))))</x:f>
      </x:c>
      <x:c r="H63" s="10" t="str">
        <x:f>IF(G63&lt;&gt;"OK","",SUMIFS(Configuracion!$C$10:$C$375,Configuracion!$A$10:$A$375,"&gt;="&amp;B63,Configuracion!$A$10:$A$375,"&lt;="&amp;C63))</x:f>
      </x:c>
      <x:c r="I63" s="8" t="str">
        <x:f>IF(G63&lt;&gt;"OK","",IF(D63="Cancelada","No aplica",IF(COUNTIFS($A$5:$A$204,A63,$B$5:$B$204,"&lt;="&amp;C63,$C$5:$C$204,"&gt;="&amp;B63,$D$5:$D$204,"&lt;&gt;Cancelada",$G$5:$G$204,"OK")&gt;1,"Solape: revisar","Sin solape")))</x:f>
      </x:c>
    </x:row>
    <x:row r="64" ht="25" customHeight="1">
      <x:c r="A64" s="7"/>
      <x:c r="B64" s="11"/>
      <x:c r="C64" s="11"/>
      <x:c r="D64" s="7"/>
      <x:c r="E64" s="7"/>
      <x:c r="F64" s="2"/>
      <x:c r="G64" s="8" t="str">
        <x:f>IF(COUNTA(A64:E64)=0,"",IF(Configuracion!$B$7&lt;&gt;"OK","Revisar ajustes",IF(OR(A64="",NOT(ISNUMBER(B64)),NOT(ISNUMBER(C64)),AND(D64&lt;&gt;"Pendiente",D64&lt;&gt;"Aprobada",D64&lt;&gt;"Cancelada")),"Revisar datos",IF(OR(B64&lt;&gt;INT(B64),C64&lt;&gt;INT(C64),B64&gt;C64,B64&lt;DATE(Configuracion!$B$4,1,1),C64&gt;DATE(Configuracion!$B$4,12,31)),"Revisar fechas",IF(COUNTIF(Resumen!$A$9:$A$38,A64)&lt;&gt;1,"Revisar ID empleado","OK")))))</x:f>
      </x:c>
      <x:c r="H64" s="10" t="str">
        <x:f>IF(G64&lt;&gt;"OK","",SUMIFS(Configuracion!$C$10:$C$375,Configuracion!$A$10:$A$375,"&gt;="&amp;B64,Configuracion!$A$10:$A$375,"&lt;="&amp;C64))</x:f>
      </x:c>
      <x:c r="I64" s="8" t="str">
        <x:f>IF(G64&lt;&gt;"OK","",IF(D64="Cancelada","No aplica",IF(COUNTIFS($A$5:$A$204,A64,$B$5:$B$204,"&lt;="&amp;C64,$C$5:$C$204,"&gt;="&amp;B64,$D$5:$D$204,"&lt;&gt;Cancelada",$G$5:$G$204,"OK")&gt;1,"Solape: revisar","Sin solape")))</x:f>
      </x:c>
    </x:row>
    <x:row r="65" ht="25" customHeight="1">
      <x:c r="A65" s="7"/>
      <x:c r="B65" s="11"/>
      <x:c r="C65" s="11"/>
      <x:c r="D65" s="7"/>
      <x:c r="E65" s="7"/>
      <x:c r="F65" s="2"/>
      <x:c r="G65" s="8" t="str">
        <x:f>IF(COUNTA(A65:E65)=0,"",IF(Configuracion!$B$7&lt;&gt;"OK","Revisar ajustes",IF(OR(A65="",NOT(ISNUMBER(B65)),NOT(ISNUMBER(C65)),AND(D65&lt;&gt;"Pendiente",D65&lt;&gt;"Aprobada",D65&lt;&gt;"Cancelada")),"Revisar datos",IF(OR(B65&lt;&gt;INT(B65),C65&lt;&gt;INT(C65),B65&gt;C65,B65&lt;DATE(Configuracion!$B$4,1,1),C65&gt;DATE(Configuracion!$B$4,12,31)),"Revisar fechas",IF(COUNTIF(Resumen!$A$9:$A$38,A65)&lt;&gt;1,"Revisar ID empleado","OK")))))</x:f>
      </x:c>
      <x:c r="H65" s="10" t="str">
        <x:f>IF(G65&lt;&gt;"OK","",SUMIFS(Configuracion!$C$10:$C$375,Configuracion!$A$10:$A$375,"&gt;="&amp;B65,Configuracion!$A$10:$A$375,"&lt;="&amp;C65))</x:f>
      </x:c>
      <x:c r="I65" s="8" t="str">
        <x:f>IF(G65&lt;&gt;"OK","",IF(D65="Cancelada","No aplica",IF(COUNTIFS($A$5:$A$204,A65,$B$5:$B$204,"&lt;="&amp;C65,$C$5:$C$204,"&gt;="&amp;B65,$D$5:$D$204,"&lt;&gt;Cancelada",$G$5:$G$204,"OK")&gt;1,"Solape: revisar","Sin solape")))</x:f>
      </x:c>
    </x:row>
    <x:row r="66" ht="25" customHeight="1">
      <x:c r="A66" s="7"/>
      <x:c r="B66" s="11"/>
      <x:c r="C66" s="11"/>
      <x:c r="D66" s="7"/>
      <x:c r="E66" s="7"/>
      <x:c r="F66" s="2"/>
      <x:c r="G66" s="8" t="str">
        <x:f>IF(COUNTA(A66:E66)=0,"",IF(Configuracion!$B$7&lt;&gt;"OK","Revisar ajustes",IF(OR(A66="",NOT(ISNUMBER(B66)),NOT(ISNUMBER(C66)),AND(D66&lt;&gt;"Pendiente",D66&lt;&gt;"Aprobada",D66&lt;&gt;"Cancelada")),"Revisar datos",IF(OR(B66&lt;&gt;INT(B66),C66&lt;&gt;INT(C66),B66&gt;C66,B66&lt;DATE(Configuracion!$B$4,1,1),C66&gt;DATE(Configuracion!$B$4,12,31)),"Revisar fechas",IF(COUNTIF(Resumen!$A$9:$A$38,A66)&lt;&gt;1,"Revisar ID empleado","OK")))))</x:f>
      </x:c>
      <x:c r="H66" s="10" t="str">
        <x:f>IF(G66&lt;&gt;"OK","",SUMIFS(Configuracion!$C$10:$C$375,Configuracion!$A$10:$A$375,"&gt;="&amp;B66,Configuracion!$A$10:$A$375,"&lt;="&amp;C66))</x:f>
      </x:c>
      <x:c r="I66" s="8" t="str">
        <x:f>IF(G66&lt;&gt;"OK","",IF(D66="Cancelada","No aplica",IF(COUNTIFS($A$5:$A$204,A66,$B$5:$B$204,"&lt;="&amp;C66,$C$5:$C$204,"&gt;="&amp;B66,$D$5:$D$204,"&lt;&gt;Cancelada",$G$5:$G$204,"OK")&gt;1,"Solape: revisar","Sin solape")))</x:f>
      </x:c>
    </x:row>
    <x:row r="67" ht="25" customHeight="1">
      <x:c r="A67" s="7"/>
      <x:c r="B67" s="11"/>
      <x:c r="C67" s="11"/>
      <x:c r="D67" s="7"/>
      <x:c r="E67" s="7"/>
      <x:c r="F67" s="2"/>
      <x:c r="G67" s="8" t="str">
        <x:f>IF(COUNTA(A67:E67)=0,"",IF(Configuracion!$B$7&lt;&gt;"OK","Revisar ajustes",IF(OR(A67="",NOT(ISNUMBER(B67)),NOT(ISNUMBER(C67)),AND(D67&lt;&gt;"Pendiente",D67&lt;&gt;"Aprobada",D67&lt;&gt;"Cancelada")),"Revisar datos",IF(OR(B67&lt;&gt;INT(B67),C67&lt;&gt;INT(C67),B67&gt;C67,B67&lt;DATE(Configuracion!$B$4,1,1),C67&gt;DATE(Configuracion!$B$4,12,31)),"Revisar fechas",IF(COUNTIF(Resumen!$A$9:$A$38,A67)&lt;&gt;1,"Revisar ID empleado","OK")))))</x:f>
      </x:c>
      <x:c r="H67" s="10" t="str">
        <x:f>IF(G67&lt;&gt;"OK","",SUMIFS(Configuracion!$C$10:$C$375,Configuracion!$A$10:$A$375,"&gt;="&amp;B67,Configuracion!$A$10:$A$375,"&lt;="&amp;C67))</x:f>
      </x:c>
      <x:c r="I67" s="8" t="str">
        <x:f>IF(G67&lt;&gt;"OK","",IF(D67="Cancelada","No aplica",IF(COUNTIFS($A$5:$A$204,A67,$B$5:$B$204,"&lt;="&amp;C67,$C$5:$C$204,"&gt;="&amp;B67,$D$5:$D$204,"&lt;&gt;Cancelada",$G$5:$G$204,"OK")&gt;1,"Solape: revisar","Sin solape")))</x:f>
      </x:c>
    </x:row>
    <x:row r="68" ht="25" customHeight="1">
      <x:c r="A68" s="7"/>
      <x:c r="B68" s="11"/>
      <x:c r="C68" s="11"/>
      <x:c r="D68" s="7"/>
      <x:c r="E68" s="7"/>
      <x:c r="F68" s="2"/>
      <x:c r="G68" s="8" t="str">
        <x:f>IF(COUNTA(A68:E68)=0,"",IF(Configuracion!$B$7&lt;&gt;"OK","Revisar ajustes",IF(OR(A68="",NOT(ISNUMBER(B68)),NOT(ISNUMBER(C68)),AND(D68&lt;&gt;"Pendiente",D68&lt;&gt;"Aprobada",D68&lt;&gt;"Cancelada")),"Revisar datos",IF(OR(B68&lt;&gt;INT(B68),C68&lt;&gt;INT(C68),B68&gt;C68,B68&lt;DATE(Configuracion!$B$4,1,1),C68&gt;DATE(Configuracion!$B$4,12,31)),"Revisar fechas",IF(COUNTIF(Resumen!$A$9:$A$38,A68)&lt;&gt;1,"Revisar ID empleado","OK")))))</x:f>
      </x:c>
      <x:c r="H68" s="10" t="str">
        <x:f>IF(G68&lt;&gt;"OK","",SUMIFS(Configuracion!$C$10:$C$375,Configuracion!$A$10:$A$375,"&gt;="&amp;B68,Configuracion!$A$10:$A$375,"&lt;="&amp;C68))</x:f>
      </x:c>
      <x:c r="I68" s="8" t="str">
        <x:f>IF(G68&lt;&gt;"OK","",IF(D68="Cancelada","No aplica",IF(COUNTIFS($A$5:$A$204,A68,$B$5:$B$204,"&lt;="&amp;C68,$C$5:$C$204,"&gt;="&amp;B68,$D$5:$D$204,"&lt;&gt;Cancelada",$G$5:$G$204,"OK")&gt;1,"Solape: revisar","Sin solape")))</x:f>
      </x:c>
    </x:row>
    <x:row r="69" ht="25" customHeight="1">
      <x:c r="A69" s="7"/>
      <x:c r="B69" s="11"/>
      <x:c r="C69" s="11"/>
      <x:c r="D69" s="7"/>
      <x:c r="E69" s="7"/>
      <x:c r="F69" s="2"/>
      <x:c r="G69" s="8" t="str">
        <x:f>IF(COUNTA(A69:E69)=0,"",IF(Configuracion!$B$7&lt;&gt;"OK","Revisar ajustes",IF(OR(A69="",NOT(ISNUMBER(B69)),NOT(ISNUMBER(C69)),AND(D69&lt;&gt;"Pendiente",D69&lt;&gt;"Aprobada",D69&lt;&gt;"Cancelada")),"Revisar datos",IF(OR(B69&lt;&gt;INT(B69),C69&lt;&gt;INT(C69),B69&gt;C69,B69&lt;DATE(Configuracion!$B$4,1,1),C69&gt;DATE(Configuracion!$B$4,12,31)),"Revisar fechas",IF(COUNTIF(Resumen!$A$9:$A$38,A69)&lt;&gt;1,"Revisar ID empleado","OK")))))</x:f>
      </x:c>
      <x:c r="H69" s="10" t="str">
        <x:f>IF(G69&lt;&gt;"OK","",SUMIFS(Configuracion!$C$10:$C$375,Configuracion!$A$10:$A$375,"&gt;="&amp;B69,Configuracion!$A$10:$A$375,"&lt;="&amp;C69))</x:f>
      </x:c>
      <x:c r="I69" s="8" t="str">
        <x:f>IF(G69&lt;&gt;"OK","",IF(D69="Cancelada","No aplica",IF(COUNTIFS($A$5:$A$204,A69,$B$5:$B$204,"&lt;="&amp;C69,$C$5:$C$204,"&gt;="&amp;B69,$D$5:$D$204,"&lt;&gt;Cancelada",$G$5:$G$204,"OK")&gt;1,"Solape: revisar","Sin solape")))</x:f>
      </x:c>
    </x:row>
    <x:row r="70" ht="25" customHeight="1">
      <x:c r="A70" s="7"/>
      <x:c r="B70" s="11"/>
      <x:c r="C70" s="11"/>
      <x:c r="D70" s="7"/>
      <x:c r="E70" s="7"/>
      <x:c r="F70" s="2"/>
      <x:c r="G70" s="8" t="str">
        <x:f>IF(COUNTA(A70:E70)=0,"",IF(Configuracion!$B$7&lt;&gt;"OK","Revisar ajustes",IF(OR(A70="",NOT(ISNUMBER(B70)),NOT(ISNUMBER(C70)),AND(D70&lt;&gt;"Pendiente",D70&lt;&gt;"Aprobada",D70&lt;&gt;"Cancelada")),"Revisar datos",IF(OR(B70&lt;&gt;INT(B70),C70&lt;&gt;INT(C70),B70&gt;C70,B70&lt;DATE(Configuracion!$B$4,1,1),C70&gt;DATE(Configuracion!$B$4,12,31)),"Revisar fechas",IF(COUNTIF(Resumen!$A$9:$A$38,A70)&lt;&gt;1,"Revisar ID empleado","OK")))))</x:f>
      </x:c>
      <x:c r="H70" s="10" t="str">
        <x:f>IF(G70&lt;&gt;"OK","",SUMIFS(Configuracion!$C$10:$C$375,Configuracion!$A$10:$A$375,"&gt;="&amp;B70,Configuracion!$A$10:$A$375,"&lt;="&amp;C70))</x:f>
      </x:c>
      <x:c r="I70" s="8" t="str">
        <x:f>IF(G70&lt;&gt;"OK","",IF(D70="Cancelada","No aplica",IF(COUNTIFS($A$5:$A$204,A70,$B$5:$B$204,"&lt;="&amp;C70,$C$5:$C$204,"&gt;="&amp;B70,$D$5:$D$204,"&lt;&gt;Cancelada",$G$5:$G$204,"OK")&gt;1,"Solape: revisar","Sin solape")))</x:f>
      </x:c>
    </x:row>
    <x:row r="71" ht="25" customHeight="1">
      <x:c r="A71" s="7"/>
      <x:c r="B71" s="11"/>
      <x:c r="C71" s="11"/>
      <x:c r="D71" s="7"/>
      <x:c r="E71" s="7"/>
      <x:c r="F71" s="2"/>
      <x:c r="G71" s="8" t="str">
        <x:f>IF(COUNTA(A71:E71)=0,"",IF(Configuracion!$B$7&lt;&gt;"OK","Revisar ajustes",IF(OR(A71="",NOT(ISNUMBER(B71)),NOT(ISNUMBER(C71)),AND(D71&lt;&gt;"Pendiente",D71&lt;&gt;"Aprobada",D71&lt;&gt;"Cancelada")),"Revisar datos",IF(OR(B71&lt;&gt;INT(B71),C71&lt;&gt;INT(C71),B71&gt;C71,B71&lt;DATE(Configuracion!$B$4,1,1),C71&gt;DATE(Configuracion!$B$4,12,31)),"Revisar fechas",IF(COUNTIF(Resumen!$A$9:$A$38,A71)&lt;&gt;1,"Revisar ID empleado","OK")))))</x:f>
      </x:c>
      <x:c r="H71" s="10" t="str">
        <x:f>IF(G71&lt;&gt;"OK","",SUMIFS(Configuracion!$C$10:$C$375,Configuracion!$A$10:$A$375,"&gt;="&amp;B71,Configuracion!$A$10:$A$375,"&lt;="&amp;C71))</x:f>
      </x:c>
      <x:c r="I71" s="8" t="str">
        <x:f>IF(G71&lt;&gt;"OK","",IF(D71="Cancelada","No aplica",IF(COUNTIFS($A$5:$A$204,A71,$B$5:$B$204,"&lt;="&amp;C71,$C$5:$C$204,"&gt;="&amp;B71,$D$5:$D$204,"&lt;&gt;Cancelada",$G$5:$G$204,"OK")&gt;1,"Solape: revisar","Sin solape")))</x:f>
      </x:c>
    </x:row>
    <x:row r="72" ht="25" customHeight="1">
      <x:c r="A72" s="7"/>
      <x:c r="B72" s="11"/>
      <x:c r="C72" s="11"/>
      <x:c r="D72" s="7"/>
      <x:c r="E72" s="7"/>
      <x:c r="F72" s="2"/>
      <x:c r="G72" s="8" t="str">
        <x:f>IF(COUNTA(A72:E72)=0,"",IF(Configuracion!$B$7&lt;&gt;"OK","Revisar ajustes",IF(OR(A72="",NOT(ISNUMBER(B72)),NOT(ISNUMBER(C72)),AND(D72&lt;&gt;"Pendiente",D72&lt;&gt;"Aprobada",D72&lt;&gt;"Cancelada")),"Revisar datos",IF(OR(B72&lt;&gt;INT(B72),C72&lt;&gt;INT(C72),B72&gt;C72,B72&lt;DATE(Configuracion!$B$4,1,1),C72&gt;DATE(Configuracion!$B$4,12,31)),"Revisar fechas",IF(COUNTIF(Resumen!$A$9:$A$38,A72)&lt;&gt;1,"Revisar ID empleado","OK")))))</x:f>
      </x:c>
      <x:c r="H72" s="10" t="str">
        <x:f>IF(G72&lt;&gt;"OK","",SUMIFS(Configuracion!$C$10:$C$375,Configuracion!$A$10:$A$375,"&gt;="&amp;B72,Configuracion!$A$10:$A$375,"&lt;="&amp;C72))</x:f>
      </x:c>
      <x:c r="I72" s="8" t="str">
        <x:f>IF(G72&lt;&gt;"OK","",IF(D72="Cancelada","No aplica",IF(COUNTIFS($A$5:$A$204,A72,$B$5:$B$204,"&lt;="&amp;C72,$C$5:$C$204,"&gt;="&amp;B72,$D$5:$D$204,"&lt;&gt;Cancelada",$G$5:$G$204,"OK")&gt;1,"Solape: revisar","Sin solape")))</x:f>
      </x:c>
    </x:row>
    <x:row r="73" ht="25" customHeight="1">
      <x:c r="A73" s="7"/>
      <x:c r="B73" s="11"/>
      <x:c r="C73" s="11"/>
      <x:c r="D73" s="7"/>
      <x:c r="E73" s="7"/>
      <x:c r="F73" s="2"/>
      <x:c r="G73" s="8" t="str">
        <x:f>IF(COUNTA(A73:E73)=0,"",IF(Configuracion!$B$7&lt;&gt;"OK","Revisar ajustes",IF(OR(A73="",NOT(ISNUMBER(B73)),NOT(ISNUMBER(C73)),AND(D73&lt;&gt;"Pendiente",D73&lt;&gt;"Aprobada",D73&lt;&gt;"Cancelada")),"Revisar datos",IF(OR(B73&lt;&gt;INT(B73),C73&lt;&gt;INT(C73),B73&gt;C73,B73&lt;DATE(Configuracion!$B$4,1,1),C73&gt;DATE(Configuracion!$B$4,12,31)),"Revisar fechas",IF(COUNTIF(Resumen!$A$9:$A$38,A73)&lt;&gt;1,"Revisar ID empleado","OK")))))</x:f>
      </x:c>
      <x:c r="H73" s="10" t="str">
        <x:f>IF(G73&lt;&gt;"OK","",SUMIFS(Configuracion!$C$10:$C$375,Configuracion!$A$10:$A$375,"&gt;="&amp;B73,Configuracion!$A$10:$A$375,"&lt;="&amp;C73))</x:f>
      </x:c>
      <x:c r="I73" s="8" t="str">
        <x:f>IF(G73&lt;&gt;"OK","",IF(D73="Cancelada","No aplica",IF(COUNTIFS($A$5:$A$204,A73,$B$5:$B$204,"&lt;="&amp;C73,$C$5:$C$204,"&gt;="&amp;B73,$D$5:$D$204,"&lt;&gt;Cancelada",$G$5:$G$204,"OK")&gt;1,"Solape: revisar","Sin solape")))</x:f>
      </x:c>
    </x:row>
    <x:row r="74" ht="25" customHeight="1">
      <x:c r="A74" s="7"/>
      <x:c r="B74" s="11"/>
      <x:c r="C74" s="11"/>
      <x:c r="D74" s="7"/>
      <x:c r="E74" s="7"/>
      <x:c r="F74" s="2"/>
      <x:c r="G74" s="8" t="str">
        <x:f>IF(COUNTA(A74:E74)=0,"",IF(Configuracion!$B$7&lt;&gt;"OK","Revisar ajustes",IF(OR(A74="",NOT(ISNUMBER(B74)),NOT(ISNUMBER(C74)),AND(D74&lt;&gt;"Pendiente",D74&lt;&gt;"Aprobada",D74&lt;&gt;"Cancelada")),"Revisar datos",IF(OR(B74&lt;&gt;INT(B74),C74&lt;&gt;INT(C74),B74&gt;C74,B74&lt;DATE(Configuracion!$B$4,1,1),C74&gt;DATE(Configuracion!$B$4,12,31)),"Revisar fechas",IF(COUNTIF(Resumen!$A$9:$A$38,A74)&lt;&gt;1,"Revisar ID empleado","OK")))))</x:f>
      </x:c>
      <x:c r="H74" s="10" t="str">
        <x:f>IF(G74&lt;&gt;"OK","",SUMIFS(Configuracion!$C$10:$C$375,Configuracion!$A$10:$A$375,"&gt;="&amp;B74,Configuracion!$A$10:$A$375,"&lt;="&amp;C74))</x:f>
      </x:c>
      <x:c r="I74" s="8" t="str">
        <x:f>IF(G74&lt;&gt;"OK","",IF(D74="Cancelada","No aplica",IF(COUNTIFS($A$5:$A$204,A74,$B$5:$B$204,"&lt;="&amp;C74,$C$5:$C$204,"&gt;="&amp;B74,$D$5:$D$204,"&lt;&gt;Cancelada",$G$5:$G$204,"OK")&gt;1,"Solape: revisar","Sin solape")))</x:f>
      </x:c>
    </x:row>
    <x:row r="75" ht="25" customHeight="1">
      <x:c r="A75" s="7"/>
      <x:c r="B75" s="11"/>
      <x:c r="C75" s="11"/>
      <x:c r="D75" s="7"/>
      <x:c r="E75" s="7"/>
      <x:c r="F75" s="2"/>
      <x:c r="G75" s="8" t="str">
        <x:f>IF(COUNTA(A75:E75)=0,"",IF(Configuracion!$B$7&lt;&gt;"OK","Revisar ajustes",IF(OR(A75="",NOT(ISNUMBER(B75)),NOT(ISNUMBER(C75)),AND(D75&lt;&gt;"Pendiente",D75&lt;&gt;"Aprobada",D75&lt;&gt;"Cancelada")),"Revisar datos",IF(OR(B75&lt;&gt;INT(B75),C75&lt;&gt;INT(C75),B75&gt;C75,B75&lt;DATE(Configuracion!$B$4,1,1),C75&gt;DATE(Configuracion!$B$4,12,31)),"Revisar fechas",IF(COUNTIF(Resumen!$A$9:$A$38,A75)&lt;&gt;1,"Revisar ID empleado","OK")))))</x:f>
      </x:c>
      <x:c r="H75" s="10" t="str">
        <x:f>IF(G75&lt;&gt;"OK","",SUMIFS(Configuracion!$C$10:$C$375,Configuracion!$A$10:$A$375,"&gt;="&amp;B75,Configuracion!$A$10:$A$375,"&lt;="&amp;C75))</x:f>
      </x:c>
      <x:c r="I75" s="8" t="str">
        <x:f>IF(G75&lt;&gt;"OK","",IF(D75="Cancelada","No aplica",IF(COUNTIFS($A$5:$A$204,A75,$B$5:$B$204,"&lt;="&amp;C75,$C$5:$C$204,"&gt;="&amp;B75,$D$5:$D$204,"&lt;&gt;Cancelada",$G$5:$G$204,"OK")&gt;1,"Solape: revisar","Sin solape")))</x:f>
      </x:c>
    </x:row>
    <x:row r="76" ht="25" customHeight="1">
      <x:c r="A76" s="7"/>
      <x:c r="B76" s="11"/>
      <x:c r="C76" s="11"/>
      <x:c r="D76" s="7"/>
      <x:c r="E76" s="7"/>
      <x:c r="F76" s="2"/>
      <x:c r="G76" s="8" t="str">
        <x:f>IF(COUNTA(A76:E76)=0,"",IF(Configuracion!$B$7&lt;&gt;"OK","Revisar ajustes",IF(OR(A76="",NOT(ISNUMBER(B76)),NOT(ISNUMBER(C76)),AND(D76&lt;&gt;"Pendiente",D76&lt;&gt;"Aprobada",D76&lt;&gt;"Cancelada")),"Revisar datos",IF(OR(B76&lt;&gt;INT(B76),C76&lt;&gt;INT(C76),B76&gt;C76,B76&lt;DATE(Configuracion!$B$4,1,1),C76&gt;DATE(Configuracion!$B$4,12,31)),"Revisar fechas",IF(COUNTIF(Resumen!$A$9:$A$38,A76)&lt;&gt;1,"Revisar ID empleado","OK")))))</x:f>
      </x:c>
      <x:c r="H76" s="10" t="str">
        <x:f>IF(G76&lt;&gt;"OK","",SUMIFS(Configuracion!$C$10:$C$375,Configuracion!$A$10:$A$375,"&gt;="&amp;B76,Configuracion!$A$10:$A$375,"&lt;="&amp;C76))</x:f>
      </x:c>
      <x:c r="I76" s="8" t="str">
        <x:f>IF(G76&lt;&gt;"OK","",IF(D76="Cancelada","No aplica",IF(COUNTIFS($A$5:$A$204,A76,$B$5:$B$204,"&lt;="&amp;C76,$C$5:$C$204,"&gt;="&amp;B76,$D$5:$D$204,"&lt;&gt;Cancelada",$G$5:$G$204,"OK")&gt;1,"Solape: revisar","Sin solape")))</x:f>
      </x:c>
    </x:row>
    <x:row r="77" ht="25" customHeight="1">
      <x:c r="A77" s="7"/>
      <x:c r="B77" s="11"/>
      <x:c r="C77" s="11"/>
      <x:c r="D77" s="7"/>
      <x:c r="E77" s="7"/>
      <x:c r="F77" s="2"/>
      <x:c r="G77" s="8" t="str">
        <x:f>IF(COUNTA(A77:E77)=0,"",IF(Configuracion!$B$7&lt;&gt;"OK","Revisar ajustes",IF(OR(A77="",NOT(ISNUMBER(B77)),NOT(ISNUMBER(C77)),AND(D77&lt;&gt;"Pendiente",D77&lt;&gt;"Aprobada",D77&lt;&gt;"Cancelada")),"Revisar datos",IF(OR(B77&lt;&gt;INT(B77),C77&lt;&gt;INT(C77),B77&gt;C77,B77&lt;DATE(Configuracion!$B$4,1,1),C77&gt;DATE(Configuracion!$B$4,12,31)),"Revisar fechas",IF(COUNTIF(Resumen!$A$9:$A$38,A77)&lt;&gt;1,"Revisar ID empleado","OK")))))</x:f>
      </x:c>
      <x:c r="H77" s="10" t="str">
        <x:f>IF(G77&lt;&gt;"OK","",SUMIFS(Configuracion!$C$10:$C$375,Configuracion!$A$10:$A$375,"&gt;="&amp;B77,Configuracion!$A$10:$A$375,"&lt;="&amp;C77))</x:f>
      </x:c>
      <x:c r="I77" s="8" t="str">
        <x:f>IF(G77&lt;&gt;"OK","",IF(D77="Cancelada","No aplica",IF(COUNTIFS($A$5:$A$204,A77,$B$5:$B$204,"&lt;="&amp;C77,$C$5:$C$204,"&gt;="&amp;B77,$D$5:$D$204,"&lt;&gt;Cancelada",$G$5:$G$204,"OK")&gt;1,"Solape: revisar","Sin solape")))</x:f>
      </x:c>
    </x:row>
    <x:row r="78" ht="25" customHeight="1">
      <x:c r="A78" s="7"/>
      <x:c r="B78" s="11"/>
      <x:c r="C78" s="11"/>
      <x:c r="D78" s="7"/>
      <x:c r="E78" s="7"/>
      <x:c r="F78" s="2"/>
      <x:c r="G78" s="8" t="str">
        <x:f>IF(COUNTA(A78:E78)=0,"",IF(Configuracion!$B$7&lt;&gt;"OK","Revisar ajustes",IF(OR(A78="",NOT(ISNUMBER(B78)),NOT(ISNUMBER(C78)),AND(D78&lt;&gt;"Pendiente",D78&lt;&gt;"Aprobada",D78&lt;&gt;"Cancelada")),"Revisar datos",IF(OR(B78&lt;&gt;INT(B78),C78&lt;&gt;INT(C78),B78&gt;C78,B78&lt;DATE(Configuracion!$B$4,1,1),C78&gt;DATE(Configuracion!$B$4,12,31)),"Revisar fechas",IF(COUNTIF(Resumen!$A$9:$A$38,A78)&lt;&gt;1,"Revisar ID empleado","OK")))))</x:f>
      </x:c>
      <x:c r="H78" s="10" t="str">
        <x:f>IF(G78&lt;&gt;"OK","",SUMIFS(Configuracion!$C$10:$C$375,Configuracion!$A$10:$A$375,"&gt;="&amp;B78,Configuracion!$A$10:$A$375,"&lt;="&amp;C78))</x:f>
      </x:c>
      <x:c r="I78" s="8" t="str">
        <x:f>IF(G78&lt;&gt;"OK","",IF(D78="Cancelada","No aplica",IF(COUNTIFS($A$5:$A$204,A78,$B$5:$B$204,"&lt;="&amp;C78,$C$5:$C$204,"&gt;="&amp;B78,$D$5:$D$204,"&lt;&gt;Cancelada",$G$5:$G$204,"OK")&gt;1,"Solape: revisar","Sin solape")))</x:f>
      </x:c>
    </x:row>
    <x:row r="79" ht="25" customHeight="1">
      <x:c r="A79" s="7"/>
      <x:c r="B79" s="11"/>
      <x:c r="C79" s="11"/>
      <x:c r="D79" s="7"/>
      <x:c r="E79" s="7"/>
      <x:c r="F79" s="2"/>
      <x:c r="G79" s="8" t="str">
        <x:f>IF(COUNTA(A79:E79)=0,"",IF(Configuracion!$B$7&lt;&gt;"OK","Revisar ajustes",IF(OR(A79="",NOT(ISNUMBER(B79)),NOT(ISNUMBER(C79)),AND(D79&lt;&gt;"Pendiente",D79&lt;&gt;"Aprobada",D79&lt;&gt;"Cancelada")),"Revisar datos",IF(OR(B79&lt;&gt;INT(B79),C79&lt;&gt;INT(C79),B79&gt;C79,B79&lt;DATE(Configuracion!$B$4,1,1),C79&gt;DATE(Configuracion!$B$4,12,31)),"Revisar fechas",IF(COUNTIF(Resumen!$A$9:$A$38,A79)&lt;&gt;1,"Revisar ID empleado","OK")))))</x:f>
      </x:c>
      <x:c r="H79" s="10" t="str">
        <x:f>IF(G79&lt;&gt;"OK","",SUMIFS(Configuracion!$C$10:$C$375,Configuracion!$A$10:$A$375,"&gt;="&amp;B79,Configuracion!$A$10:$A$375,"&lt;="&amp;C79))</x:f>
      </x:c>
      <x:c r="I79" s="8" t="str">
        <x:f>IF(G79&lt;&gt;"OK","",IF(D79="Cancelada","No aplica",IF(COUNTIFS($A$5:$A$204,A79,$B$5:$B$204,"&lt;="&amp;C79,$C$5:$C$204,"&gt;="&amp;B79,$D$5:$D$204,"&lt;&gt;Cancelada",$G$5:$G$204,"OK")&gt;1,"Solape: revisar","Sin solape")))</x:f>
      </x:c>
    </x:row>
    <x:row r="80" ht="25" customHeight="1">
      <x:c r="A80" s="7"/>
      <x:c r="B80" s="11"/>
      <x:c r="C80" s="11"/>
      <x:c r="D80" s="7"/>
      <x:c r="E80" s="7"/>
      <x:c r="F80" s="2"/>
      <x:c r="G80" s="8" t="str">
        <x:f>IF(COUNTA(A80:E80)=0,"",IF(Configuracion!$B$7&lt;&gt;"OK","Revisar ajustes",IF(OR(A80="",NOT(ISNUMBER(B80)),NOT(ISNUMBER(C80)),AND(D80&lt;&gt;"Pendiente",D80&lt;&gt;"Aprobada",D80&lt;&gt;"Cancelada")),"Revisar datos",IF(OR(B80&lt;&gt;INT(B80),C80&lt;&gt;INT(C80),B80&gt;C80,B80&lt;DATE(Configuracion!$B$4,1,1),C80&gt;DATE(Configuracion!$B$4,12,31)),"Revisar fechas",IF(COUNTIF(Resumen!$A$9:$A$38,A80)&lt;&gt;1,"Revisar ID empleado","OK")))))</x:f>
      </x:c>
      <x:c r="H80" s="10" t="str">
        <x:f>IF(G80&lt;&gt;"OK","",SUMIFS(Configuracion!$C$10:$C$375,Configuracion!$A$10:$A$375,"&gt;="&amp;B80,Configuracion!$A$10:$A$375,"&lt;="&amp;C80))</x:f>
      </x:c>
      <x:c r="I80" s="8" t="str">
        <x:f>IF(G80&lt;&gt;"OK","",IF(D80="Cancelada","No aplica",IF(COUNTIFS($A$5:$A$204,A80,$B$5:$B$204,"&lt;="&amp;C80,$C$5:$C$204,"&gt;="&amp;B80,$D$5:$D$204,"&lt;&gt;Cancelada",$G$5:$G$204,"OK")&gt;1,"Solape: revisar","Sin solape")))</x:f>
      </x:c>
    </x:row>
    <x:row r="81" ht="25" customHeight="1">
      <x:c r="A81" s="7"/>
      <x:c r="B81" s="11"/>
      <x:c r="C81" s="11"/>
      <x:c r="D81" s="7"/>
      <x:c r="E81" s="7"/>
      <x:c r="F81" s="2"/>
      <x:c r="G81" s="8" t="str">
        <x:f>IF(COUNTA(A81:E81)=0,"",IF(Configuracion!$B$7&lt;&gt;"OK","Revisar ajustes",IF(OR(A81="",NOT(ISNUMBER(B81)),NOT(ISNUMBER(C81)),AND(D81&lt;&gt;"Pendiente",D81&lt;&gt;"Aprobada",D81&lt;&gt;"Cancelada")),"Revisar datos",IF(OR(B81&lt;&gt;INT(B81),C81&lt;&gt;INT(C81),B81&gt;C81,B81&lt;DATE(Configuracion!$B$4,1,1),C81&gt;DATE(Configuracion!$B$4,12,31)),"Revisar fechas",IF(COUNTIF(Resumen!$A$9:$A$38,A81)&lt;&gt;1,"Revisar ID empleado","OK")))))</x:f>
      </x:c>
      <x:c r="H81" s="10" t="str">
        <x:f>IF(G81&lt;&gt;"OK","",SUMIFS(Configuracion!$C$10:$C$375,Configuracion!$A$10:$A$375,"&gt;="&amp;B81,Configuracion!$A$10:$A$375,"&lt;="&amp;C81))</x:f>
      </x:c>
      <x:c r="I81" s="8" t="str">
        <x:f>IF(G81&lt;&gt;"OK","",IF(D81="Cancelada","No aplica",IF(COUNTIFS($A$5:$A$204,A81,$B$5:$B$204,"&lt;="&amp;C81,$C$5:$C$204,"&gt;="&amp;B81,$D$5:$D$204,"&lt;&gt;Cancelada",$G$5:$G$204,"OK")&gt;1,"Solape: revisar","Sin solape")))</x:f>
      </x:c>
    </x:row>
    <x:row r="82" ht="25" customHeight="1">
      <x:c r="A82" s="7"/>
      <x:c r="B82" s="11"/>
      <x:c r="C82" s="11"/>
      <x:c r="D82" s="7"/>
      <x:c r="E82" s="7"/>
      <x:c r="F82" s="2"/>
      <x:c r="G82" s="8" t="str">
        <x:f>IF(COUNTA(A82:E82)=0,"",IF(Configuracion!$B$7&lt;&gt;"OK","Revisar ajustes",IF(OR(A82="",NOT(ISNUMBER(B82)),NOT(ISNUMBER(C82)),AND(D82&lt;&gt;"Pendiente",D82&lt;&gt;"Aprobada",D82&lt;&gt;"Cancelada")),"Revisar datos",IF(OR(B82&lt;&gt;INT(B82),C82&lt;&gt;INT(C82),B82&gt;C82,B82&lt;DATE(Configuracion!$B$4,1,1),C82&gt;DATE(Configuracion!$B$4,12,31)),"Revisar fechas",IF(COUNTIF(Resumen!$A$9:$A$38,A82)&lt;&gt;1,"Revisar ID empleado","OK")))))</x:f>
      </x:c>
      <x:c r="H82" s="10" t="str">
        <x:f>IF(G82&lt;&gt;"OK","",SUMIFS(Configuracion!$C$10:$C$375,Configuracion!$A$10:$A$375,"&gt;="&amp;B82,Configuracion!$A$10:$A$375,"&lt;="&amp;C82))</x:f>
      </x:c>
      <x:c r="I82" s="8" t="str">
        <x:f>IF(G82&lt;&gt;"OK","",IF(D82="Cancelada","No aplica",IF(COUNTIFS($A$5:$A$204,A82,$B$5:$B$204,"&lt;="&amp;C82,$C$5:$C$204,"&gt;="&amp;B82,$D$5:$D$204,"&lt;&gt;Cancelada",$G$5:$G$204,"OK")&gt;1,"Solape: revisar","Sin solape")))</x:f>
      </x:c>
    </x:row>
    <x:row r="83" ht="25" customHeight="1">
      <x:c r="A83" s="7"/>
      <x:c r="B83" s="11"/>
      <x:c r="C83" s="11"/>
      <x:c r="D83" s="7"/>
      <x:c r="E83" s="7"/>
      <x:c r="F83" s="2"/>
      <x:c r="G83" s="8" t="str">
        <x:f>IF(COUNTA(A83:E83)=0,"",IF(Configuracion!$B$7&lt;&gt;"OK","Revisar ajustes",IF(OR(A83="",NOT(ISNUMBER(B83)),NOT(ISNUMBER(C83)),AND(D83&lt;&gt;"Pendiente",D83&lt;&gt;"Aprobada",D83&lt;&gt;"Cancelada")),"Revisar datos",IF(OR(B83&lt;&gt;INT(B83),C83&lt;&gt;INT(C83),B83&gt;C83,B83&lt;DATE(Configuracion!$B$4,1,1),C83&gt;DATE(Configuracion!$B$4,12,31)),"Revisar fechas",IF(COUNTIF(Resumen!$A$9:$A$38,A83)&lt;&gt;1,"Revisar ID empleado","OK")))))</x:f>
      </x:c>
      <x:c r="H83" s="10" t="str">
        <x:f>IF(G83&lt;&gt;"OK","",SUMIFS(Configuracion!$C$10:$C$375,Configuracion!$A$10:$A$375,"&gt;="&amp;B83,Configuracion!$A$10:$A$375,"&lt;="&amp;C83))</x:f>
      </x:c>
      <x:c r="I83" s="8" t="str">
        <x:f>IF(G83&lt;&gt;"OK","",IF(D83="Cancelada","No aplica",IF(COUNTIFS($A$5:$A$204,A83,$B$5:$B$204,"&lt;="&amp;C83,$C$5:$C$204,"&gt;="&amp;B83,$D$5:$D$204,"&lt;&gt;Cancelada",$G$5:$G$204,"OK")&gt;1,"Solape: revisar","Sin solape")))</x:f>
      </x:c>
    </x:row>
    <x:row r="84" ht="25" customHeight="1">
      <x:c r="A84" s="7"/>
      <x:c r="B84" s="11"/>
      <x:c r="C84" s="11"/>
      <x:c r="D84" s="7"/>
      <x:c r="E84" s="7"/>
      <x:c r="F84" s="2"/>
      <x:c r="G84" s="8" t="str">
        <x:f>IF(COUNTA(A84:E84)=0,"",IF(Configuracion!$B$7&lt;&gt;"OK","Revisar ajustes",IF(OR(A84="",NOT(ISNUMBER(B84)),NOT(ISNUMBER(C84)),AND(D84&lt;&gt;"Pendiente",D84&lt;&gt;"Aprobada",D84&lt;&gt;"Cancelada")),"Revisar datos",IF(OR(B84&lt;&gt;INT(B84),C84&lt;&gt;INT(C84),B84&gt;C84,B84&lt;DATE(Configuracion!$B$4,1,1),C84&gt;DATE(Configuracion!$B$4,12,31)),"Revisar fechas",IF(COUNTIF(Resumen!$A$9:$A$38,A84)&lt;&gt;1,"Revisar ID empleado","OK")))))</x:f>
      </x:c>
      <x:c r="H84" s="10" t="str">
        <x:f>IF(G84&lt;&gt;"OK","",SUMIFS(Configuracion!$C$10:$C$375,Configuracion!$A$10:$A$375,"&gt;="&amp;B84,Configuracion!$A$10:$A$375,"&lt;="&amp;C84))</x:f>
      </x:c>
      <x:c r="I84" s="8" t="str">
        <x:f>IF(G84&lt;&gt;"OK","",IF(D84="Cancelada","No aplica",IF(COUNTIFS($A$5:$A$204,A84,$B$5:$B$204,"&lt;="&amp;C84,$C$5:$C$204,"&gt;="&amp;B84,$D$5:$D$204,"&lt;&gt;Cancelada",$G$5:$G$204,"OK")&gt;1,"Solape: revisar","Sin solape")))</x:f>
      </x:c>
    </x:row>
    <x:row r="85" ht="25" customHeight="1">
      <x:c r="A85" s="7"/>
      <x:c r="B85" s="11"/>
      <x:c r="C85" s="11"/>
      <x:c r="D85" s="7"/>
      <x:c r="E85" s="7"/>
      <x:c r="F85" s="2"/>
      <x:c r="G85" s="8" t="str">
        <x:f>IF(COUNTA(A85:E85)=0,"",IF(Configuracion!$B$7&lt;&gt;"OK","Revisar ajustes",IF(OR(A85="",NOT(ISNUMBER(B85)),NOT(ISNUMBER(C85)),AND(D85&lt;&gt;"Pendiente",D85&lt;&gt;"Aprobada",D85&lt;&gt;"Cancelada")),"Revisar datos",IF(OR(B85&lt;&gt;INT(B85),C85&lt;&gt;INT(C85),B85&gt;C85,B85&lt;DATE(Configuracion!$B$4,1,1),C85&gt;DATE(Configuracion!$B$4,12,31)),"Revisar fechas",IF(COUNTIF(Resumen!$A$9:$A$38,A85)&lt;&gt;1,"Revisar ID empleado","OK")))))</x:f>
      </x:c>
      <x:c r="H85" s="10" t="str">
        <x:f>IF(G85&lt;&gt;"OK","",SUMIFS(Configuracion!$C$10:$C$375,Configuracion!$A$10:$A$375,"&gt;="&amp;B85,Configuracion!$A$10:$A$375,"&lt;="&amp;C85))</x:f>
      </x:c>
      <x:c r="I85" s="8" t="str">
        <x:f>IF(G85&lt;&gt;"OK","",IF(D85="Cancelada","No aplica",IF(COUNTIFS($A$5:$A$204,A85,$B$5:$B$204,"&lt;="&amp;C85,$C$5:$C$204,"&gt;="&amp;B85,$D$5:$D$204,"&lt;&gt;Cancelada",$G$5:$G$204,"OK")&gt;1,"Solape: revisar","Sin solape")))</x:f>
      </x:c>
    </x:row>
    <x:row r="86" ht="25" customHeight="1">
      <x:c r="A86" s="7"/>
      <x:c r="B86" s="11"/>
      <x:c r="C86" s="11"/>
      <x:c r="D86" s="7"/>
      <x:c r="E86" s="7"/>
      <x:c r="F86" s="2"/>
      <x:c r="G86" s="8" t="str">
        <x:f>IF(COUNTA(A86:E86)=0,"",IF(Configuracion!$B$7&lt;&gt;"OK","Revisar ajustes",IF(OR(A86="",NOT(ISNUMBER(B86)),NOT(ISNUMBER(C86)),AND(D86&lt;&gt;"Pendiente",D86&lt;&gt;"Aprobada",D86&lt;&gt;"Cancelada")),"Revisar datos",IF(OR(B86&lt;&gt;INT(B86),C86&lt;&gt;INT(C86),B86&gt;C86,B86&lt;DATE(Configuracion!$B$4,1,1),C86&gt;DATE(Configuracion!$B$4,12,31)),"Revisar fechas",IF(COUNTIF(Resumen!$A$9:$A$38,A86)&lt;&gt;1,"Revisar ID empleado","OK")))))</x:f>
      </x:c>
      <x:c r="H86" s="10" t="str">
        <x:f>IF(G86&lt;&gt;"OK","",SUMIFS(Configuracion!$C$10:$C$375,Configuracion!$A$10:$A$375,"&gt;="&amp;B86,Configuracion!$A$10:$A$375,"&lt;="&amp;C86))</x:f>
      </x:c>
      <x:c r="I86" s="8" t="str">
        <x:f>IF(G86&lt;&gt;"OK","",IF(D86="Cancelada","No aplica",IF(COUNTIFS($A$5:$A$204,A86,$B$5:$B$204,"&lt;="&amp;C86,$C$5:$C$204,"&gt;="&amp;B86,$D$5:$D$204,"&lt;&gt;Cancelada",$G$5:$G$204,"OK")&gt;1,"Solape: revisar","Sin solape")))</x:f>
      </x:c>
    </x:row>
    <x:row r="87" ht="25" customHeight="1">
      <x:c r="A87" s="7"/>
      <x:c r="B87" s="11"/>
      <x:c r="C87" s="11"/>
      <x:c r="D87" s="7"/>
      <x:c r="E87" s="7"/>
      <x:c r="F87" s="2"/>
      <x:c r="G87" s="8" t="str">
        <x:f>IF(COUNTA(A87:E87)=0,"",IF(Configuracion!$B$7&lt;&gt;"OK","Revisar ajustes",IF(OR(A87="",NOT(ISNUMBER(B87)),NOT(ISNUMBER(C87)),AND(D87&lt;&gt;"Pendiente",D87&lt;&gt;"Aprobada",D87&lt;&gt;"Cancelada")),"Revisar datos",IF(OR(B87&lt;&gt;INT(B87),C87&lt;&gt;INT(C87),B87&gt;C87,B87&lt;DATE(Configuracion!$B$4,1,1),C87&gt;DATE(Configuracion!$B$4,12,31)),"Revisar fechas",IF(COUNTIF(Resumen!$A$9:$A$38,A87)&lt;&gt;1,"Revisar ID empleado","OK")))))</x:f>
      </x:c>
      <x:c r="H87" s="10" t="str">
        <x:f>IF(G87&lt;&gt;"OK","",SUMIFS(Configuracion!$C$10:$C$375,Configuracion!$A$10:$A$375,"&gt;="&amp;B87,Configuracion!$A$10:$A$375,"&lt;="&amp;C87))</x:f>
      </x:c>
      <x:c r="I87" s="8" t="str">
        <x:f>IF(G87&lt;&gt;"OK","",IF(D87="Cancelada","No aplica",IF(COUNTIFS($A$5:$A$204,A87,$B$5:$B$204,"&lt;="&amp;C87,$C$5:$C$204,"&gt;="&amp;B87,$D$5:$D$204,"&lt;&gt;Cancelada",$G$5:$G$204,"OK")&gt;1,"Solape: revisar","Sin solape")))</x:f>
      </x:c>
    </x:row>
    <x:row r="88" ht="25" customHeight="1">
      <x:c r="A88" s="7"/>
      <x:c r="B88" s="11"/>
      <x:c r="C88" s="11"/>
      <x:c r="D88" s="7"/>
      <x:c r="E88" s="7"/>
      <x:c r="F88" s="2"/>
      <x:c r="G88" s="8" t="str">
        <x:f>IF(COUNTA(A88:E88)=0,"",IF(Configuracion!$B$7&lt;&gt;"OK","Revisar ajustes",IF(OR(A88="",NOT(ISNUMBER(B88)),NOT(ISNUMBER(C88)),AND(D88&lt;&gt;"Pendiente",D88&lt;&gt;"Aprobada",D88&lt;&gt;"Cancelada")),"Revisar datos",IF(OR(B88&lt;&gt;INT(B88),C88&lt;&gt;INT(C88),B88&gt;C88,B88&lt;DATE(Configuracion!$B$4,1,1),C88&gt;DATE(Configuracion!$B$4,12,31)),"Revisar fechas",IF(COUNTIF(Resumen!$A$9:$A$38,A88)&lt;&gt;1,"Revisar ID empleado","OK")))))</x:f>
      </x:c>
      <x:c r="H88" s="10" t="str">
        <x:f>IF(G88&lt;&gt;"OK","",SUMIFS(Configuracion!$C$10:$C$375,Configuracion!$A$10:$A$375,"&gt;="&amp;B88,Configuracion!$A$10:$A$375,"&lt;="&amp;C88))</x:f>
      </x:c>
      <x:c r="I88" s="8" t="str">
        <x:f>IF(G88&lt;&gt;"OK","",IF(D88="Cancelada","No aplica",IF(COUNTIFS($A$5:$A$204,A88,$B$5:$B$204,"&lt;="&amp;C88,$C$5:$C$204,"&gt;="&amp;B88,$D$5:$D$204,"&lt;&gt;Cancelada",$G$5:$G$204,"OK")&gt;1,"Solape: revisar","Sin solape")))</x:f>
      </x:c>
    </x:row>
    <x:row r="89" ht="25" customHeight="1">
      <x:c r="A89" s="7"/>
      <x:c r="B89" s="11"/>
      <x:c r="C89" s="11"/>
      <x:c r="D89" s="7"/>
      <x:c r="E89" s="7"/>
      <x:c r="F89" s="2"/>
      <x:c r="G89" s="8" t="str">
        <x:f>IF(COUNTA(A89:E89)=0,"",IF(Configuracion!$B$7&lt;&gt;"OK","Revisar ajustes",IF(OR(A89="",NOT(ISNUMBER(B89)),NOT(ISNUMBER(C89)),AND(D89&lt;&gt;"Pendiente",D89&lt;&gt;"Aprobada",D89&lt;&gt;"Cancelada")),"Revisar datos",IF(OR(B89&lt;&gt;INT(B89),C89&lt;&gt;INT(C89),B89&gt;C89,B89&lt;DATE(Configuracion!$B$4,1,1),C89&gt;DATE(Configuracion!$B$4,12,31)),"Revisar fechas",IF(COUNTIF(Resumen!$A$9:$A$38,A89)&lt;&gt;1,"Revisar ID empleado","OK")))))</x:f>
      </x:c>
      <x:c r="H89" s="10" t="str">
        <x:f>IF(G89&lt;&gt;"OK","",SUMIFS(Configuracion!$C$10:$C$375,Configuracion!$A$10:$A$375,"&gt;="&amp;B89,Configuracion!$A$10:$A$375,"&lt;="&amp;C89))</x:f>
      </x:c>
      <x:c r="I89" s="8" t="str">
        <x:f>IF(G89&lt;&gt;"OK","",IF(D89="Cancelada","No aplica",IF(COUNTIFS($A$5:$A$204,A89,$B$5:$B$204,"&lt;="&amp;C89,$C$5:$C$204,"&gt;="&amp;B89,$D$5:$D$204,"&lt;&gt;Cancelada",$G$5:$G$204,"OK")&gt;1,"Solape: revisar","Sin solape")))</x:f>
      </x:c>
    </x:row>
    <x:row r="90" ht="25" customHeight="1">
      <x:c r="A90" s="7"/>
      <x:c r="B90" s="11"/>
      <x:c r="C90" s="11"/>
      <x:c r="D90" s="7"/>
      <x:c r="E90" s="7"/>
      <x:c r="F90" s="2"/>
      <x:c r="G90" s="8" t="str">
        <x:f>IF(COUNTA(A90:E90)=0,"",IF(Configuracion!$B$7&lt;&gt;"OK","Revisar ajustes",IF(OR(A90="",NOT(ISNUMBER(B90)),NOT(ISNUMBER(C90)),AND(D90&lt;&gt;"Pendiente",D90&lt;&gt;"Aprobada",D90&lt;&gt;"Cancelada")),"Revisar datos",IF(OR(B90&lt;&gt;INT(B90),C90&lt;&gt;INT(C90),B90&gt;C90,B90&lt;DATE(Configuracion!$B$4,1,1),C90&gt;DATE(Configuracion!$B$4,12,31)),"Revisar fechas",IF(COUNTIF(Resumen!$A$9:$A$38,A90)&lt;&gt;1,"Revisar ID empleado","OK")))))</x:f>
      </x:c>
      <x:c r="H90" s="10" t="str">
        <x:f>IF(G90&lt;&gt;"OK","",SUMIFS(Configuracion!$C$10:$C$375,Configuracion!$A$10:$A$375,"&gt;="&amp;B90,Configuracion!$A$10:$A$375,"&lt;="&amp;C90))</x:f>
      </x:c>
      <x:c r="I90" s="8" t="str">
        <x:f>IF(G90&lt;&gt;"OK","",IF(D90="Cancelada","No aplica",IF(COUNTIFS($A$5:$A$204,A90,$B$5:$B$204,"&lt;="&amp;C90,$C$5:$C$204,"&gt;="&amp;B90,$D$5:$D$204,"&lt;&gt;Cancelada",$G$5:$G$204,"OK")&gt;1,"Solape: revisar","Sin solape")))</x:f>
      </x:c>
    </x:row>
    <x:row r="91" ht="25" customHeight="1">
      <x:c r="A91" s="7"/>
      <x:c r="B91" s="11"/>
      <x:c r="C91" s="11"/>
      <x:c r="D91" s="7"/>
      <x:c r="E91" s="7"/>
      <x:c r="F91" s="2"/>
      <x:c r="G91" s="8" t="str">
        <x:f>IF(COUNTA(A91:E91)=0,"",IF(Configuracion!$B$7&lt;&gt;"OK","Revisar ajustes",IF(OR(A91="",NOT(ISNUMBER(B91)),NOT(ISNUMBER(C91)),AND(D91&lt;&gt;"Pendiente",D91&lt;&gt;"Aprobada",D91&lt;&gt;"Cancelada")),"Revisar datos",IF(OR(B91&lt;&gt;INT(B91),C91&lt;&gt;INT(C91),B91&gt;C91,B91&lt;DATE(Configuracion!$B$4,1,1),C91&gt;DATE(Configuracion!$B$4,12,31)),"Revisar fechas",IF(COUNTIF(Resumen!$A$9:$A$38,A91)&lt;&gt;1,"Revisar ID empleado","OK")))))</x:f>
      </x:c>
      <x:c r="H91" s="10" t="str">
        <x:f>IF(G91&lt;&gt;"OK","",SUMIFS(Configuracion!$C$10:$C$375,Configuracion!$A$10:$A$375,"&gt;="&amp;B91,Configuracion!$A$10:$A$375,"&lt;="&amp;C91))</x:f>
      </x:c>
      <x:c r="I91" s="8" t="str">
        <x:f>IF(G91&lt;&gt;"OK","",IF(D91="Cancelada","No aplica",IF(COUNTIFS($A$5:$A$204,A91,$B$5:$B$204,"&lt;="&amp;C91,$C$5:$C$204,"&gt;="&amp;B91,$D$5:$D$204,"&lt;&gt;Cancelada",$G$5:$G$204,"OK")&gt;1,"Solape: revisar","Sin solape")))</x:f>
      </x:c>
    </x:row>
    <x:row r="92" ht="25" customHeight="1">
      <x:c r="A92" s="7"/>
      <x:c r="B92" s="11"/>
      <x:c r="C92" s="11"/>
      <x:c r="D92" s="7"/>
      <x:c r="E92" s="7"/>
      <x:c r="F92" s="2"/>
      <x:c r="G92" s="8" t="str">
        <x:f>IF(COUNTA(A92:E92)=0,"",IF(Configuracion!$B$7&lt;&gt;"OK","Revisar ajustes",IF(OR(A92="",NOT(ISNUMBER(B92)),NOT(ISNUMBER(C92)),AND(D92&lt;&gt;"Pendiente",D92&lt;&gt;"Aprobada",D92&lt;&gt;"Cancelada")),"Revisar datos",IF(OR(B92&lt;&gt;INT(B92),C92&lt;&gt;INT(C92),B92&gt;C92,B92&lt;DATE(Configuracion!$B$4,1,1),C92&gt;DATE(Configuracion!$B$4,12,31)),"Revisar fechas",IF(COUNTIF(Resumen!$A$9:$A$38,A92)&lt;&gt;1,"Revisar ID empleado","OK")))))</x:f>
      </x:c>
      <x:c r="H92" s="10" t="str">
        <x:f>IF(G92&lt;&gt;"OK","",SUMIFS(Configuracion!$C$10:$C$375,Configuracion!$A$10:$A$375,"&gt;="&amp;B92,Configuracion!$A$10:$A$375,"&lt;="&amp;C92))</x:f>
      </x:c>
      <x:c r="I92" s="8" t="str">
        <x:f>IF(G92&lt;&gt;"OK","",IF(D92="Cancelada","No aplica",IF(COUNTIFS($A$5:$A$204,A92,$B$5:$B$204,"&lt;="&amp;C92,$C$5:$C$204,"&gt;="&amp;B92,$D$5:$D$204,"&lt;&gt;Cancelada",$G$5:$G$204,"OK")&gt;1,"Solape: revisar","Sin solape")))</x:f>
      </x:c>
    </x:row>
    <x:row r="93" ht="25" customHeight="1">
      <x:c r="A93" s="7"/>
      <x:c r="B93" s="11"/>
      <x:c r="C93" s="11"/>
      <x:c r="D93" s="7"/>
      <x:c r="E93" s="7"/>
      <x:c r="F93" s="2"/>
      <x:c r="G93" s="8" t="str">
        <x:f>IF(COUNTA(A93:E93)=0,"",IF(Configuracion!$B$7&lt;&gt;"OK","Revisar ajustes",IF(OR(A93="",NOT(ISNUMBER(B93)),NOT(ISNUMBER(C93)),AND(D93&lt;&gt;"Pendiente",D93&lt;&gt;"Aprobada",D93&lt;&gt;"Cancelada")),"Revisar datos",IF(OR(B93&lt;&gt;INT(B93),C93&lt;&gt;INT(C93),B93&gt;C93,B93&lt;DATE(Configuracion!$B$4,1,1),C93&gt;DATE(Configuracion!$B$4,12,31)),"Revisar fechas",IF(COUNTIF(Resumen!$A$9:$A$38,A93)&lt;&gt;1,"Revisar ID empleado","OK")))))</x:f>
      </x:c>
      <x:c r="H93" s="10" t="str">
        <x:f>IF(G93&lt;&gt;"OK","",SUMIFS(Configuracion!$C$10:$C$375,Configuracion!$A$10:$A$375,"&gt;="&amp;B93,Configuracion!$A$10:$A$375,"&lt;="&amp;C93))</x:f>
      </x:c>
      <x:c r="I93" s="8" t="str">
        <x:f>IF(G93&lt;&gt;"OK","",IF(D93="Cancelada","No aplica",IF(COUNTIFS($A$5:$A$204,A93,$B$5:$B$204,"&lt;="&amp;C93,$C$5:$C$204,"&gt;="&amp;B93,$D$5:$D$204,"&lt;&gt;Cancelada",$G$5:$G$204,"OK")&gt;1,"Solape: revisar","Sin solape")))</x:f>
      </x:c>
    </x:row>
    <x:row r="94" ht="25" customHeight="1">
      <x:c r="A94" s="7"/>
      <x:c r="B94" s="11"/>
      <x:c r="C94" s="11"/>
      <x:c r="D94" s="7"/>
      <x:c r="E94" s="7"/>
      <x:c r="F94" s="2"/>
      <x:c r="G94" s="8" t="str">
        <x:f>IF(COUNTA(A94:E94)=0,"",IF(Configuracion!$B$7&lt;&gt;"OK","Revisar ajustes",IF(OR(A94="",NOT(ISNUMBER(B94)),NOT(ISNUMBER(C94)),AND(D94&lt;&gt;"Pendiente",D94&lt;&gt;"Aprobada",D94&lt;&gt;"Cancelada")),"Revisar datos",IF(OR(B94&lt;&gt;INT(B94),C94&lt;&gt;INT(C94),B94&gt;C94,B94&lt;DATE(Configuracion!$B$4,1,1),C94&gt;DATE(Configuracion!$B$4,12,31)),"Revisar fechas",IF(COUNTIF(Resumen!$A$9:$A$38,A94)&lt;&gt;1,"Revisar ID empleado","OK")))))</x:f>
      </x:c>
      <x:c r="H94" s="10" t="str">
        <x:f>IF(G94&lt;&gt;"OK","",SUMIFS(Configuracion!$C$10:$C$375,Configuracion!$A$10:$A$375,"&gt;="&amp;B94,Configuracion!$A$10:$A$375,"&lt;="&amp;C94))</x:f>
      </x:c>
      <x:c r="I94" s="8" t="str">
        <x:f>IF(G94&lt;&gt;"OK","",IF(D94="Cancelada","No aplica",IF(COUNTIFS($A$5:$A$204,A94,$B$5:$B$204,"&lt;="&amp;C94,$C$5:$C$204,"&gt;="&amp;B94,$D$5:$D$204,"&lt;&gt;Cancelada",$G$5:$G$204,"OK")&gt;1,"Solape: revisar","Sin solape")))</x:f>
      </x:c>
    </x:row>
    <x:row r="95" ht="25" customHeight="1">
      <x:c r="A95" s="7"/>
      <x:c r="B95" s="11"/>
      <x:c r="C95" s="11"/>
      <x:c r="D95" s="7"/>
      <x:c r="E95" s="7"/>
      <x:c r="F95" s="2"/>
      <x:c r="G95" s="8" t="str">
        <x:f>IF(COUNTA(A95:E95)=0,"",IF(Configuracion!$B$7&lt;&gt;"OK","Revisar ajustes",IF(OR(A95="",NOT(ISNUMBER(B95)),NOT(ISNUMBER(C95)),AND(D95&lt;&gt;"Pendiente",D95&lt;&gt;"Aprobada",D95&lt;&gt;"Cancelada")),"Revisar datos",IF(OR(B95&lt;&gt;INT(B95),C95&lt;&gt;INT(C95),B95&gt;C95,B95&lt;DATE(Configuracion!$B$4,1,1),C95&gt;DATE(Configuracion!$B$4,12,31)),"Revisar fechas",IF(COUNTIF(Resumen!$A$9:$A$38,A95)&lt;&gt;1,"Revisar ID empleado","OK")))))</x:f>
      </x:c>
      <x:c r="H95" s="10" t="str">
        <x:f>IF(G95&lt;&gt;"OK","",SUMIFS(Configuracion!$C$10:$C$375,Configuracion!$A$10:$A$375,"&gt;="&amp;B95,Configuracion!$A$10:$A$375,"&lt;="&amp;C95))</x:f>
      </x:c>
      <x:c r="I95" s="8" t="str">
        <x:f>IF(G95&lt;&gt;"OK","",IF(D95="Cancelada","No aplica",IF(COUNTIFS($A$5:$A$204,A95,$B$5:$B$204,"&lt;="&amp;C95,$C$5:$C$204,"&gt;="&amp;B95,$D$5:$D$204,"&lt;&gt;Cancelada",$G$5:$G$204,"OK")&gt;1,"Solape: revisar","Sin solape")))</x:f>
      </x:c>
    </x:row>
    <x:row r="96" ht="25" customHeight="1">
      <x:c r="A96" s="7"/>
      <x:c r="B96" s="11"/>
      <x:c r="C96" s="11"/>
      <x:c r="D96" s="7"/>
      <x:c r="E96" s="7"/>
      <x:c r="F96" s="2"/>
      <x:c r="G96" s="8" t="str">
        <x:f>IF(COUNTA(A96:E96)=0,"",IF(Configuracion!$B$7&lt;&gt;"OK","Revisar ajustes",IF(OR(A96="",NOT(ISNUMBER(B96)),NOT(ISNUMBER(C96)),AND(D96&lt;&gt;"Pendiente",D96&lt;&gt;"Aprobada",D96&lt;&gt;"Cancelada")),"Revisar datos",IF(OR(B96&lt;&gt;INT(B96),C96&lt;&gt;INT(C96),B96&gt;C96,B96&lt;DATE(Configuracion!$B$4,1,1),C96&gt;DATE(Configuracion!$B$4,12,31)),"Revisar fechas",IF(COUNTIF(Resumen!$A$9:$A$38,A96)&lt;&gt;1,"Revisar ID empleado","OK")))))</x:f>
      </x:c>
      <x:c r="H96" s="10" t="str">
        <x:f>IF(G96&lt;&gt;"OK","",SUMIFS(Configuracion!$C$10:$C$375,Configuracion!$A$10:$A$375,"&gt;="&amp;B96,Configuracion!$A$10:$A$375,"&lt;="&amp;C96))</x:f>
      </x:c>
      <x:c r="I96" s="8" t="str">
        <x:f>IF(G96&lt;&gt;"OK","",IF(D96="Cancelada","No aplica",IF(COUNTIFS($A$5:$A$204,A96,$B$5:$B$204,"&lt;="&amp;C96,$C$5:$C$204,"&gt;="&amp;B96,$D$5:$D$204,"&lt;&gt;Cancelada",$G$5:$G$204,"OK")&gt;1,"Solape: revisar","Sin solape")))</x:f>
      </x:c>
    </x:row>
    <x:row r="97" ht="25" customHeight="1">
      <x:c r="A97" s="7"/>
      <x:c r="B97" s="11"/>
      <x:c r="C97" s="11"/>
      <x:c r="D97" s="7"/>
      <x:c r="E97" s="7"/>
      <x:c r="F97" s="2"/>
      <x:c r="G97" s="8" t="str">
        <x:f>IF(COUNTA(A97:E97)=0,"",IF(Configuracion!$B$7&lt;&gt;"OK","Revisar ajustes",IF(OR(A97="",NOT(ISNUMBER(B97)),NOT(ISNUMBER(C97)),AND(D97&lt;&gt;"Pendiente",D97&lt;&gt;"Aprobada",D97&lt;&gt;"Cancelada")),"Revisar datos",IF(OR(B97&lt;&gt;INT(B97),C97&lt;&gt;INT(C97),B97&gt;C97,B97&lt;DATE(Configuracion!$B$4,1,1),C97&gt;DATE(Configuracion!$B$4,12,31)),"Revisar fechas",IF(COUNTIF(Resumen!$A$9:$A$38,A97)&lt;&gt;1,"Revisar ID empleado","OK")))))</x:f>
      </x:c>
      <x:c r="H97" s="10" t="str">
        <x:f>IF(G97&lt;&gt;"OK","",SUMIFS(Configuracion!$C$10:$C$375,Configuracion!$A$10:$A$375,"&gt;="&amp;B97,Configuracion!$A$10:$A$375,"&lt;="&amp;C97))</x:f>
      </x:c>
      <x:c r="I97" s="8" t="str">
        <x:f>IF(G97&lt;&gt;"OK","",IF(D97="Cancelada","No aplica",IF(COUNTIFS($A$5:$A$204,A97,$B$5:$B$204,"&lt;="&amp;C97,$C$5:$C$204,"&gt;="&amp;B97,$D$5:$D$204,"&lt;&gt;Cancelada",$G$5:$G$204,"OK")&gt;1,"Solape: revisar","Sin solape")))</x:f>
      </x:c>
    </x:row>
    <x:row r="98" ht="25" customHeight="1">
      <x:c r="A98" s="7"/>
      <x:c r="B98" s="11"/>
      <x:c r="C98" s="11"/>
      <x:c r="D98" s="7"/>
      <x:c r="E98" s="7"/>
      <x:c r="F98" s="2"/>
      <x:c r="G98" s="8" t="str">
        <x:f>IF(COUNTA(A98:E98)=0,"",IF(Configuracion!$B$7&lt;&gt;"OK","Revisar ajustes",IF(OR(A98="",NOT(ISNUMBER(B98)),NOT(ISNUMBER(C98)),AND(D98&lt;&gt;"Pendiente",D98&lt;&gt;"Aprobada",D98&lt;&gt;"Cancelada")),"Revisar datos",IF(OR(B98&lt;&gt;INT(B98),C98&lt;&gt;INT(C98),B98&gt;C98,B98&lt;DATE(Configuracion!$B$4,1,1),C98&gt;DATE(Configuracion!$B$4,12,31)),"Revisar fechas",IF(COUNTIF(Resumen!$A$9:$A$38,A98)&lt;&gt;1,"Revisar ID empleado","OK")))))</x:f>
      </x:c>
      <x:c r="H98" s="10" t="str">
        <x:f>IF(G98&lt;&gt;"OK","",SUMIFS(Configuracion!$C$10:$C$375,Configuracion!$A$10:$A$375,"&gt;="&amp;B98,Configuracion!$A$10:$A$375,"&lt;="&amp;C98))</x:f>
      </x:c>
      <x:c r="I98" s="8" t="str">
        <x:f>IF(G98&lt;&gt;"OK","",IF(D98="Cancelada","No aplica",IF(COUNTIFS($A$5:$A$204,A98,$B$5:$B$204,"&lt;="&amp;C98,$C$5:$C$204,"&gt;="&amp;B98,$D$5:$D$204,"&lt;&gt;Cancelada",$G$5:$G$204,"OK")&gt;1,"Solape: revisar","Sin solape")))</x:f>
      </x:c>
    </x:row>
    <x:row r="99" ht="25" customHeight="1">
      <x:c r="A99" s="7"/>
      <x:c r="B99" s="11"/>
      <x:c r="C99" s="11"/>
      <x:c r="D99" s="7"/>
      <x:c r="E99" s="7"/>
      <x:c r="F99" s="2"/>
      <x:c r="G99" s="8" t="str">
        <x:f>IF(COUNTA(A99:E99)=0,"",IF(Configuracion!$B$7&lt;&gt;"OK","Revisar ajustes",IF(OR(A99="",NOT(ISNUMBER(B99)),NOT(ISNUMBER(C99)),AND(D99&lt;&gt;"Pendiente",D99&lt;&gt;"Aprobada",D99&lt;&gt;"Cancelada")),"Revisar datos",IF(OR(B99&lt;&gt;INT(B99),C99&lt;&gt;INT(C99),B99&gt;C99,B99&lt;DATE(Configuracion!$B$4,1,1),C99&gt;DATE(Configuracion!$B$4,12,31)),"Revisar fechas",IF(COUNTIF(Resumen!$A$9:$A$38,A99)&lt;&gt;1,"Revisar ID empleado","OK")))))</x:f>
      </x:c>
      <x:c r="H99" s="10" t="str">
        <x:f>IF(G99&lt;&gt;"OK","",SUMIFS(Configuracion!$C$10:$C$375,Configuracion!$A$10:$A$375,"&gt;="&amp;B99,Configuracion!$A$10:$A$375,"&lt;="&amp;C99))</x:f>
      </x:c>
      <x:c r="I99" s="8" t="str">
        <x:f>IF(G99&lt;&gt;"OK","",IF(D99="Cancelada","No aplica",IF(COUNTIFS($A$5:$A$204,A99,$B$5:$B$204,"&lt;="&amp;C99,$C$5:$C$204,"&gt;="&amp;B99,$D$5:$D$204,"&lt;&gt;Cancelada",$G$5:$G$204,"OK")&gt;1,"Solape: revisar","Sin solape")))</x:f>
      </x:c>
    </x:row>
    <x:row r="100" ht="25" customHeight="1">
      <x:c r="A100" s="7"/>
      <x:c r="B100" s="11"/>
      <x:c r="C100" s="11"/>
      <x:c r="D100" s="7"/>
      <x:c r="E100" s="7"/>
      <x:c r="F100" s="2"/>
      <x:c r="G100" s="8" t="str">
        <x:f>IF(COUNTA(A100:E100)=0,"",IF(Configuracion!$B$7&lt;&gt;"OK","Revisar ajustes",IF(OR(A100="",NOT(ISNUMBER(B100)),NOT(ISNUMBER(C100)),AND(D100&lt;&gt;"Pendiente",D100&lt;&gt;"Aprobada",D100&lt;&gt;"Cancelada")),"Revisar datos",IF(OR(B100&lt;&gt;INT(B100),C100&lt;&gt;INT(C100),B100&gt;C100,B100&lt;DATE(Configuracion!$B$4,1,1),C100&gt;DATE(Configuracion!$B$4,12,31)),"Revisar fechas",IF(COUNTIF(Resumen!$A$9:$A$38,A100)&lt;&gt;1,"Revisar ID empleado","OK")))))</x:f>
      </x:c>
      <x:c r="H100" s="10" t="str">
        <x:f>IF(G100&lt;&gt;"OK","",SUMIFS(Configuracion!$C$10:$C$375,Configuracion!$A$10:$A$375,"&gt;="&amp;B100,Configuracion!$A$10:$A$375,"&lt;="&amp;C100))</x:f>
      </x:c>
      <x:c r="I100" s="8" t="str">
        <x:f>IF(G100&lt;&gt;"OK","",IF(D100="Cancelada","No aplica",IF(COUNTIFS($A$5:$A$204,A100,$B$5:$B$204,"&lt;="&amp;C100,$C$5:$C$204,"&gt;="&amp;B100,$D$5:$D$204,"&lt;&gt;Cancelada",$G$5:$G$204,"OK")&gt;1,"Solape: revisar","Sin solape")))</x:f>
      </x:c>
    </x:row>
    <x:row r="101" ht="25" customHeight="1">
      <x:c r="A101" s="7"/>
      <x:c r="B101" s="11"/>
      <x:c r="C101" s="11"/>
      <x:c r="D101" s="7"/>
      <x:c r="E101" s="7"/>
      <x:c r="F101" s="2"/>
      <x:c r="G101" s="8" t="str">
        <x:f>IF(COUNTA(A101:E101)=0,"",IF(Configuracion!$B$7&lt;&gt;"OK","Revisar ajustes",IF(OR(A101="",NOT(ISNUMBER(B101)),NOT(ISNUMBER(C101)),AND(D101&lt;&gt;"Pendiente",D101&lt;&gt;"Aprobada",D101&lt;&gt;"Cancelada")),"Revisar datos",IF(OR(B101&lt;&gt;INT(B101),C101&lt;&gt;INT(C101),B101&gt;C101,B101&lt;DATE(Configuracion!$B$4,1,1),C101&gt;DATE(Configuracion!$B$4,12,31)),"Revisar fechas",IF(COUNTIF(Resumen!$A$9:$A$38,A101)&lt;&gt;1,"Revisar ID empleado","OK")))))</x:f>
      </x:c>
      <x:c r="H101" s="10" t="str">
        <x:f>IF(G101&lt;&gt;"OK","",SUMIFS(Configuracion!$C$10:$C$375,Configuracion!$A$10:$A$375,"&gt;="&amp;B101,Configuracion!$A$10:$A$375,"&lt;="&amp;C101))</x:f>
      </x:c>
      <x:c r="I101" s="8" t="str">
        <x:f>IF(G101&lt;&gt;"OK","",IF(D101="Cancelada","No aplica",IF(COUNTIFS($A$5:$A$204,A101,$B$5:$B$204,"&lt;="&amp;C101,$C$5:$C$204,"&gt;="&amp;B101,$D$5:$D$204,"&lt;&gt;Cancelada",$G$5:$G$204,"OK")&gt;1,"Solape: revisar","Sin solape")))</x:f>
      </x:c>
    </x:row>
    <x:row r="102" ht="25" customHeight="1">
      <x:c r="A102" s="7"/>
      <x:c r="B102" s="11"/>
      <x:c r="C102" s="11"/>
      <x:c r="D102" s="7"/>
      <x:c r="E102" s="7"/>
      <x:c r="F102" s="2"/>
      <x:c r="G102" s="8" t="str">
        <x:f>IF(COUNTA(A102:E102)=0,"",IF(Configuracion!$B$7&lt;&gt;"OK","Revisar ajustes",IF(OR(A102="",NOT(ISNUMBER(B102)),NOT(ISNUMBER(C102)),AND(D102&lt;&gt;"Pendiente",D102&lt;&gt;"Aprobada",D102&lt;&gt;"Cancelada")),"Revisar datos",IF(OR(B102&lt;&gt;INT(B102),C102&lt;&gt;INT(C102),B102&gt;C102,B102&lt;DATE(Configuracion!$B$4,1,1),C102&gt;DATE(Configuracion!$B$4,12,31)),"Revisar fechas",IF(COUNTIF(Resumen!$A$9:$A$38,A102)&lt;&gt;1,"Revisar ID empleado","OK")))))</x:f>
      </x:c>
      <x:c r="H102" s="10" t="str">
        <x:f>IF(G102&lt;&gt;"OK","",SUMIFS(Configuracion!$C$10:$C$375,Configuracion!$A$10:$A$375,"&gt;="&amp;B102,Configuracion!$A$10:$A$375,"&lt;="&amp;C102))</x:f>
      </x:c>
      <x:c r="I102" s="8" t="str">
        <x:f>IF(G102&lt;&gt;"OK","",IF(D102="Cancelada","No aplica",IF(COUNTIFS($A$5:$A$204,A102,$B$5:$B$204,"&lt;="&amp;C102,$C$5:$C$204,"&gt;="&amp;B102,$D$5:$D$204,"&lt;&gt;Cancelada",$G$5:$G$204,"OK")&gt;1,"Solape: revisar","Sin solape")))</x:f>
      </x:c>
    </x:row>
    <x:row r="103" ht="25" customHeight="1">
      <x:c r="A103" s="7"/>
      <x:c r="B103" s="11"/>
      <x:c r="C103" s="11"/>
      <x:c r="D103" s="7"/>
      <x:c r="E103" s="7"/>
      <x:c r="F103" s="2"/>
      <x:c r="G103" s="8" t="str">
        <x:f>IF(COUNTA(A103:E103)=0,"",IF(Configuracion!$B$7&lt;&gt;"OK","Revisar ajustes",IF(OR(A103="",NOT(ISNUMBER(B103)),NOT(ISNUMBER(C103)),AND(D103&lt;&gt;"Pendiente",D103&lt;&gt;"Aprobada",D103&lt;&gt;"Cancelada")),"Revisar datos",IF(OR(B103&lt;&gt;INT(B103),C103&lt;&gt;INT(C103),B103&gt;C103,B103&lt;DATE(Configuracion!$B$4,1,1),C103&gt;DATE(Configuracion!$B$4,12,31)),"Revisar fechas",IF(COUNTIF(Resumen!$A$9:$A$38,A103)&lt;&gt;1,"Revisar ID empleado","OK")))))</x:f>
      </x:c>
      <x:c r="H103" s="10" t="str">
        <x:f>IF(G103&lt;&gt;"OK","",SUMIFS(Configuracion!$C$10:$C$375,Configuracion!$A$10:$A$375,"&gt;="&amp;B103,Configuracion!$A$10:$A$375,"&lt;="&amp;C103))</x:f>
      </x:c>
      <x:c r="I103" s="8" t="str">
        <x:f>IF(G103&lt;&gt;"OK","",IF(D103="Cancelada","No aplica",IF(COUNTIFS($A$5:$A$204,A103,$B$5:$B$204,"&lt;="&amp;C103,$C$5:$C$204,"&gt;="&amp;B103,$D$5:$D$204,"&lt;&gt;Cancelada",$G$5:$G$204,"OK")&gt;1,"Solape: revisar","Sin solape")))</x:f>
      </x:c>
    </x:row>
    <x:row r="104" ht="25" customHeight="1">
      <x:c r="A104" s="7"/>
      <x:c r="B104" s="11"/>
      <x:c r="C104" s="11"/>
      <x:c r="D104" s="7"/>
      <x:c r="E104" s="7"/>
      <x:c r="F104" s="2"/>
      <x:c r="G104" s="8" t="str">
        <x:f>IF(COUNTA(A104:E104)=0,"",IF(Configuracion!$B$7&lt;&gt;"OK","Revisar ajustes",IF(OR(A104="",NOT(ISNUMBER(B104)),NOT(ISNUMBER(C104)),AND(D104&lt;&gt;"Pendiente",D104&lt;&gt;"Aprobada",D104&lt;&gt;"Cancelada")),"Revisar datos",IF(OR(B104&lt;&gt;INT(B104),C104&lt;&gt;INT(C104),B104&gt;C104,B104&lt;DATE(Configuracion!$B$4,1,1),C104&gt;DATE(Configuracion!$B$4,12,31)),"Revisar fechas",IF(COUNTIF(Resumen!$A$9:$A$38,A104)&lt;&gt;1,"Revisar ID empleado","OK")))))</x:f>
      </x:c>
      <x:c r="H104" s="10" t="str">
        <x:f>IF(G104&lt;&gt;"OK","",SUMIFS(Configuracion!$C$10:$C$375,Configuracion!$A$10:$A$375,"&gt;="&amp;B104,Configuracion!$A$10:$A$375,"&lt;="&amp;C104))</x:f>
      </x:c>
      <x:c r="I104" s="8" t="str">
        <x:f>IF(G104&lt;&gt;"OK","",IF(D104="Cancelada","No aplica",IF(COUNTIFS($A$5:$A$204,A104,$B$5:$B$204,"&lt;="&amp;C104,$C$5:$C$204,"&gt;="&amp;B104,$D$5:$D$204,"&lt;&gt;Cancelada",$G$5:$G$204,"OK")&gt;1,"Solape: revisar","Sin solape")))</x:f>
      </x:c>
    </x:row>
    <x:row r="105" ht="25" customHeight="1">
      <x:c r="A105" s="7"/>
      <x:c r="B105" s="11"/>
      <x:c r="C105" s="11"/>
      <x:c r="D105" s="7"/>
      <x:c r="E105" s="7"/>
      <x:c r="F105" s="2"/>
      <x:c r="G105" s="8" t="str">
        <x:f>IF(COUNTA(A105:E105)=0,"",IF(Configuracion!$B$7&lt;&gt;"OK","Revisar ajustes",IF(OR(A105="",NOT(ISNUMBER(B105)),NOT(ISNUMBER(C105)),AND(D105&lt;&gt;"Pendiente",D105&lt;&gt;"Aprobada",D105&lt;&gt;"Cancelada")),"Revisar datos",IF(OR(B105&lt;&gt;INT(B105),C105&lt;&gt;INT(C105),B105&gt;C105,B105&lt;DATE(Configuracion!$B$4,1,1),C105&gt;DATE(Configuracion!$B$4,12,31)),"Revisar fechas",IF(COUNTIF(Resumen!$A$9:$A$38,A105)&lt;&gt;1,"Revisar ID empleado","OK")))))</x:f>
      </x:c>
      <x:c r="H105" s="10" t="str">
        <x:f>IF(G105&lt;&gt;"OK","",SUMIFS(Configuracion!$C$10:$C$375,Configuracion!$A$10:$A$375,"&gt;="&amp;B105,Configuracion!$A$10:$A$375,"&lt;="&amp;C105))</x:f>
      </x:c>
      <x:c r="I105" s="8" t="str">
        <x:f>IF(G105&lt;&gt;"OK","",IF(D105="Cancelada","No aplica",IF(COUNTIFS($A$5:$A$204,A105,$B$5:$B$204,"&lt;="&amp;C105,$C$5:$C$204,"&gt;="&amp;B105,$D$5:$D$204,"&lt;&gt;Cancelada",$G$5:$G$204,"OK")&gt;1,"Solape: revisar","Sin solape")))</x:f>
      </x:c>
    </x:row>
    <x:row r="106" ht="25" customHeight="1">
      <x:c r="A106" s="7"/>
      <x:c r="B106" s="11"/>
      <x:c r="C106" s="11"/>
      <x:c r="D106" s="7"/>
      <x:c r="E106" s="7"/>
      <x:c r="F106" s="2"/>
      <x:c r="G106" s="8" t="str">
        <x:f>IF(COUNTA(A106:E106)=0,"",IF(Configuracion!$B$7&lt;&gt;"OK","Revisar ajustes",IF(OR(A106="",NOT(ISNUMBER(B106)),NOT(ISNUMBER(C106)),AND(D106&lt;&gt;"Pendiente",D106&lt;&gt;"Aprobada",D106&lt;&gt;"Cancelada")),"Revisar datos",IF(OR(B106&lt;&gt;INT(B106),C106&lt;&gt;INT(C106),B106&gt;C106,B106&lt;DATE(Configuracion!$B$4,1,1),C106&gt;DATE(Configuracion!$B$4,12,31)),"Revisar fechas",IF(COUNTIF(Resumen!$A$9:$A$38,A106)&lt;&gt;1,"Revisar ID empleado","OK")))))</x:f>
      </x:c>
      <x:c r="H106" s="10" t="str">
        <x:f>IF(G106&lt;&gt;"OK","",SUMIFS(Configuracion!$C$10:$C$375,Configuracion!$A$10:$A$375,"&gt;="&amp;B106,Configuracion!$A$10:$A$375,"&lt;="&amp;C106))</x:f>
      </x:c>
      <x:c r="I106" s="8" t="str">
        <x:f>IF(G106&lt;&gt;"OK","",IF(D106="Cancelada","No aplica",IF(COUNTIFS($A$5:$A$204,A106,$B$5:$B$204,"&lt;="&amp;C106,$C$5:$C$204,"&gt;="&amp;B106,$D$5:$D$204,"&lt;&gt;Cancelada",$G$5:$G$204,"OK")&gt;1,"Solape: revisar","Sin solape")))</x:f>
      </x:c>
    </x:row>
    <x:row r="107" ht="25" customHeight="1">
      <x:c r="A107" s="7"/>
      <x:c r="B107" s="11"/>
      <x:c r="C107" s="11"/>
      <x:c r="D107" s="7"/>
      <x:c r="E107" s="7"/>
      <x:c r="F107" s="2"/>
      <x:c r="G107" s="8" t="str">
        <x:f>IF(COUNTA(A107:E107)=0,"",IF(Configuracion!$B$7&lt;&gt;"OK","Revisar ajustes",IF(OR(A107="",NOT(ISNUMBER(B107)),NOT(ISNUMBER(C107)),AND(D107&lt;&gt;"Pendiente",D107&lt;&gt;"Aprobada",D107&lt;&gt;"Cancelada")),"Revisar datos",IF(OR(B107&lt;&gt;INT(B107),C107&lt;&gt;INT(C107),B107&gt;C107,B107&lt;DATE(Configuracion!$B$4,1,1),C107&gt;DATE(Configuracion!$B$4,12,31)),"Revisar fechas",IF(COUNTIF(Resumen!$A$9:$A$38,A107)&lt;&gt;1,"Revisar ID empleado","OK")))))</x:f>
      </x:c>
      <x:c r="H107" s="10" t="str">
        <x:f>IF(G107&lt;&gt;"OK","",SUMIFS(Configuracion!$C$10:$C$375,Configuracion!$A$10:$A$375,"&gt;="&amp;B107,Configuracion!$A$10:$A$375,"&lt;="&amp;C107))</x:f>
      </x:c>
      <x:c r="I107" s="8" t="str">
        <x:f>IF(G107&lt;&gt;"OK","",IF(D107="Cancelada","No aplica",IF(COUNTIFS($A$5:$A$204,A107,$B$5:$B$204,"&lt;="&amp;C107,$C$5:$C$204,"&gt;="&amp;B107,$D$5:$D$204,"&lt;&gt;Cancelada",$G$5:$G$204,"OK")&gt;1,"Solape: revisar","Sin solape")))</x:f>
      </x:c>
    </x:row>
    <x:row r="108" ht="25" customHeight="1">
      <x:c r="A108" s="7"/>
      <x:c r="B108" s="11"/>
      <x:c r="C108" s="11"/>
      <x:c r="D108" s="7"/>
      <x:c r="E108" s="7"/>
      <x:c r="F108" s="2"/>
      <x:c r="G108" s="8" t="str">
        <x:f>IF(COUNTA(A108:E108)=0,"",IF(Configuracion!$B$7&lt;&gt;"OK","Revisar ajustes",IF(OR(A108="",NOT(ISNUMBER(B108)),NOT(ISNUMBER(C108)),AND(D108&lt;&gt;"Pendiente",D108&lt;&gt;"Aprobada",D108&lt;&gt;"Cancelada")),"Revisar datos",IF(OR(B108&lt;&gt;INT(B108),C108&lt;&gt;INT(C108),B108&gt;C108,B108&lt;DATE(Configuracion!$B$4,1,1),C108&gt;DATE(Configuracion!$B$4,12,31)),"Revisar fechas",IF(COUNTIF(Resumen!$A$9:$A$38,A108)&lt;&gt;1,"Revisar ID empleado","OK")))))</x:f>
      </x:c>
      <x:c r="H108" s="10" t="str">
        <x:f>IF(G108&lt;&gt;"OK","",SUMIFS(Configuracion!$C$10:$C$375,Configuracion!$A$10:$A$375,"&gt;="&amp;B108,Configuracion!$A$10:$A$375,"&lt;="&amp;C108))</x:f>
      </x:c>
      <x:c r="I108" s="8" t="str">
        <x:f>IF(G108&lt;&gt;"OK","",IF(D108="Cancelada","No aplica",IF(COUNTIFS($A$5:$A$204,A108,$B$5:$B$204,"&lt;="&amp;C108,$C$5:$C$204,"&gt;="&amp;B108,$D$5:$D$204,"&lt;&gt;Cancelada",$G$5:$G$204,"OK")&gt;1,"Solape: revisar","Sin solape")))</x:f>
      </x:c>
    </x:row>
    <x:row r="109" ht="25" customHeight="1">
      <x:c r="A109" s="7"/>
      <x:c r="B109" s="11"/>
      <x:c r="C109" s="11"/>
      <x:c r="D109" s="7"/>
      <x:c r="E109" s="7"/>
      <x:c r="F109" s="2"/>
      <x:c r="G109" s="8" t="str">
        <x:f>IF(COUNTA(A109:E109)=0,"",IF(Configuracion!$B$7&lt;&gt;"OK","Revisar ajustes",IF(OR(A109="",NOT(ISNUMBER(B109)),NOT(ISNUMBER(C109)),AND(D109&lt;&gt;"Pendiente",D109&lt;&gt;"Aprobada",D109&lt;&gt;"Cancelada")),"Revisar datos",IF(OR(B109&lt;&gt;INT(B109),C109&lt;&gt;INT(C109),B109&gt;C109,B109&lt;DATE(Configuracion!$B$4,1,1),C109&gt;DATE(Configuracion!$B$4,12,31)),"Revisar fechas",IF(COUNTIF(Resumen!$A$9:$A$38,A109)&lt;&gt;1,"Revisar ID empleado","OK")))))</x:f>
      </x:c>
      <x:c r="H109" s="10" t="str">
        <x:f>IF(G109&lt;&gt;"OK","",SUMIFS(Configuracion!$C$10:$C$375,Configuracion!$A$10:$A$375,"&gt;="&amp;B109,Configuracion!$A$10:$A$375,"&lt;="&amp;C109))</x:f>
      </x:c>
      <x:c r="I109" s="8" t="str">
        <x:f>IF(G109&lt;&gt;"OK","",IF(D109="Cancelada","No aplica",IF(COUNTIFS($A$5:$A$204,A109,$B$5:$B$204,"&lt;="&amp;C109,$C$5:$C$204,"&gt;="&amp;B109,$D$5:$D$204,"&lt;&gt;Cancelada",$G$5:$G$204,"OK")&gt;1,"Solape: revisar","Sin solape")))</x:f>
      </x:c>
    </x:row>
    <x:row r="110" ht="25" customHeight="1">
      <x:c r="A110" s="7"/>
      <x:c r="B110" s="11"/>
      <x:c r="C110" s="11"/>
      <x:c r="D110" s="7"/>
      <x:c r="E110" s="7"/>
      <x:c r="F110" s="2"/>
      <x:c r="G110" s="8" t="str">
        <x:f>IF(COUNTA(A110:E110)=0,"",IF(Configuracion!$B$7&lt;&gt;"OK","Revisar ajustes",IF(OR(A110="",NOT(ISNUMBER(B110)),NOT(ISNUMBER(C110)),AND(D110&lt;&gt;"Pendiente",D110&lt;&gt;"Aprobada",D110&lt;&gt;"Cancelada")),"Revisar datos",IF(OR(B110&lt;&gt;INT(B110),C110&lt;&gt;INT(C110),B110&gt;C110,B110&lt;DATE(Configuracion!$B$4,1,1),C110&gt;DATE(Configuracion!$B$4,12,31)),"Revisar fechas",IF(COUNTIF(Resumen!$A$9:$A$38,A110)&lt;&gt;1,"Revisar ID empleado","OK")))))</x:f>
      </x:c>
      <x:c r="H110" s="10" t="str">
        <x:f>IF(G110&lt;&gt;"OK","",SUMIFS(Configuracion!$C$10:$C$375,Configuracion!$A$10:$A$375,"&gt;="&amp;B110,Configuracion!$A$10:$A$375,"&lt;="&amp;C110))</x:f>
      </x:c>
      <x:c r="I110" s="8" t="str">
        <x:f>IF(G110&lt;&gt;"OK","",IF(D110="Cancelada","No aplica",IF(COUNTIFS($A$5:$A$204,A110,$B$5:$B$204,"&lt;="&amp;C110,$C$5:$C$204,"&gt;="&amp;B110,$D$5:$D$204,"&lt;&gt;Cancelada",$G$5:$G$204,"OK")&gt;1,"Solape: revisar","Sin solape")))</x:f>
      </x:c>
    </x:row>
    <x:row r="111" ht="25" customHeight="1">
      <x:c r="A111" s="7"/>
      <x:c r="B111" s="11"/>
      <x:c r="C111" s="11"/>
      <x:c r="D111" s="7"/>
      <x:c r="E111" s="7"/>
      <x:c r="F111" s="2"/>
      <x:c r="G111" s="8" t="str">
        <x:f>IF(COUNTA(A111:E111)=0,"",IF(Configuracion!$B$7&lt;&gt;"OK","Revisar ajustes",IF(OR(A111="",NOT(ISNUMBER(B111)),NOT(ISNUMBER(C111)),AND(D111&lt;&gt;"Pendiente",D111&lt;&gt;"Aprobada",D111&lt;&gt;"Cancelada")),"Revisar datos",IF(OR(B111&lt;&gt;INT(B111),C111&lt;&gt;INT(C111),B111&gt;C111,B111&lt;DATE(Configuracion!$B$4,1,1),C111&gt;DATE(Configuracion!$B$4,12,31)),"Revisar fechas",IF(COUNTIF(Resumen!$A$9:$A$38,A111)&lt;&gt;1,"Revisar ID empleado","OK")))))</x:f>
      </x:c>
      <x:c r="H111" s="10" t="str">
        <x:f>IF(G111&lt;&gt;"OK","",SUMIFS(Configuracion!$C$10:$C$375,Configuracion!$A$10:$A$375,"&gt;="&amp;B111,Configuracion!$A$10:$A$375,"&lt;="&amp;C111))</x:f>
      </x:c>
      <x:c r="I111" s="8" t="str">
        <x:f>IF(G111&lt;&gt;"OK","",IF(D111="Cancelada","No aplica",IF(COUNTIFS($A$5:$A$204,A111,$B$5:$B$204,"&lt;="&amp;C111,$C$5:$C$204,"&gt;="&amp;B111,$D$5:$D$204,"&lt;&gt;Cancelada",$G$5:$G$204,"OK")&gt;1,"Solape: revisar","Sin solape")))</x:f>
      </x:c>
    </x:row>
    <x:row r="112" ht="25" customHeight="1">
      <x:c r="A112" s="7"/>
      <x:c r="B112" s="11"/>
      <x:c r="C112" s="11"/>
      <x:c r="D112" s="7"/>
      <x:c r="E112" s="7"/>
      <x:c r="F112" s="2"/>
      <x:c r="G112" s="8" t="str">
        <x:f>IF(COUNTA(A112:E112)=0,"",IF(Configuracion!$B$7&lt;&gt;"OK","Revisar ajustes",IF(OR(A112="",NOT(ISNUMBER(B112)),NOT(ISNUMBER(C112)),AND(D112&lt;&gt;"Pendiente",D112&lt;&gt;"Aprobada",D112&lt;&gt;"Cancelada")),"Revisar datos",IF(OR(B112&lt;&gt;INT(B112),C112&lt;&gt;INT(C112),B112&gt;C112,B112&lt;DATE(Configuracion!$B$4,1,1),C112&gt;DATE(Configuracion!$B$4,12,31)),"Revisar fechas",IF(COUNTIF(Resumen!$A$9:$A$38,A112)&lt;&gt;1,"Revisar ID empleado","OK")))))</x:f>
      </x:c>
      <x:c r="H112" s="10" t="str">
        <x:f>IF(G112&lt;&gt;"OK","",SUMIFS(Configuracion!$C$10:$C$375,Configuracion!$A$10:$A$375,"&gt;="&amp;B112,Configuracion!$A$10:$A$375,"&lt;="&amp;C112))</x:f>
      </x:c>
      <x:c r="I112" s="8" t="str">
        <x:f>IF(G112&lt;&gt;"OK","",IF(D112="Cancelada","No aplica",IF(COUNTIFS($A$5:$A$204,A112,$B$5:$B$204,"&lt;="&amp;C112,$C$5:$C$204,"&gt;="&amp;B112,$D$5:$D$204,"&lt;&gt;Cancelada",$G$5:$G$204,"OK")&gt;1,"Solape: revisar","Sin solape")))</x:f>
      </x:c>
    </x:row>
    <x:row r="113" ht="25" customHeight="1">
      <x:c r="A113" s="7"/>
      <x:c r="B113" s="11"/>
      <x:c r="C113" s="11"/>
      <x:c r="D113" s="7"/>
      <x:c r="E113" s="7"/>
      <x:c r="F113" s="2"/>
      <x:c r="G113" s="8" t="str">
        <x:f>IF(COUNTA(A113:E113)=0,"",IF(Configuracion!$B$7&lt;&gt;"OK","Revisar ajustes",IF(OR(A113="",NOT(ISNUMBER(B113)),NOT(ISNUMBER(C113)),AND(D113&lt;&gt;"Pendiente",D113&lt;&gt;"Aprobada",D113&lt;&gt;"Cancelada")),"Revisar datos",IF(OR(B113&lt;&gt;INT(B113),C113&lt;&gt;INT(C113),B113&gt;C113,B113&lt;DATE(Configuracion!$B$4,1,1),C113&gt;DATE(Configuracion!$B$4,12,31)),"Revisar fechas",IF(COUNTIF(Resumen!$A$9:$A$38,A113)&lt;&gt;1,"Revisar ID empleado","OK")))))</x:f>
      </x:c>
      <x:c r="H113" s="10" t="str">
        <x:f>IF(G113&lt;&gt;"OK","",SUMIFS(Configuracion!$C$10:$C$375,Configuracion!$A$10:$A$375,"&gt;="&amp;B113,Configuracion!$A$10:$A$375,"&lt;="&amp;C113))</x:f>
      </x:c>
      <x:c r="I113" s="8" t="str">
        <x:f>IF(G113&lt;&gt;"OK","",IF(D113="Cancelada","No aplica",IF(COUNTIFS($A$5:$A$204,A113,$B$5:$B$204,"&lt;="&amp;C113,$C$5:$C$204,"&gt;="&amp;B113,$D$5:$D$204,"&lt;&gt;Cancelada",$G$5:$G$204,"OK")&gt;1,"Solape: revisar","Sin solape")))</x:f>
      </x:c>
    </x:row>
    <x:row r="114" ht="25" customHeight="1">
      <x:c r="A114" s="7"/>
      <x:c r="B114" s="11"/>
      <x:c r="C114" s="11"/>
      <x:c r="D114" s="7"/>
      <x:c r="E114" s="7"/>
      <x:c r="F114" s="2"/>
      <x:c r="G114" s="8" t="str">
        <x:f>IF(COUNTA(A114:E114)=0,"",IF(Configuracion!$B$7&lt;&gt;"OK","Revisar ajustes",IF(OR(A114="",NOT(ISNUMBER(B114)),NOT(ISNUMBER(C114)),AND(D114&lt;&gt;"Pendiente",D114&lt;&gt;"Aprobada",D114&lt;&gt;"Cancelada")),"Revisar datos",IF(OR(B114&lt;&gt;INT(B114),C114&lt;&gt;INT(C114),B114&gt;C114,B114&lt;DATE(Configuracion!$B$4,1,1),C114&gt;DATE(Configuracion!$B$4,12,31)),"Revisar fechas",IF(COUNTIF(Resumen!$A$9:$A$38,A114)&lt;&gt;1,"Revisar ID empleado","OK")))))</x:f>
      </x:c>
      <x:c r="H114" s="10" t="str">
        <x:f>IF(G114&lt;&gt;"OK","",SUMIFS(Configuracion!$C$10:$C$375,Configuracion!$A$10:$A$375,"&gt;="&amp;B114,Configuracion!$A$10:$A$375,"&lt;="&amp;C114))</x:f>
      </x:c>
      <x:c r="I114" s="8" t="str">
        <x:f>IF(G114&lt;&gt;"OK","",IF(D114="Cancelada","No aplica",IF(COUNTIFS($A$5:$A$204,A114,$B$5:$B$204,"&lt;="&amp;C114,$C$5:$C$204,"&gt;="&amp;B114,$D$5:$D$204,"&lt;&gt;Cancelada",$G$5:$G$204,"OK")&gt;1,"Solape: revisar","Sin solape")))</x:f>
      </x:c>
    </x:row>
    <x:row r="115" ht="25" customHeight="1">
      <x:c r="A115" s="7"/>
      <x:c r="B115" s="11"/>
      <x:c r="C115" s="11"/>
      <x:c r="D115" s="7"/>
      <x:c r="E115" s="7"/>
      <x:c r="F115" s="2"/>
      <x:c r="G115" s="8" t="str">
        <x:f>IF(COUNTA(A115:E115)=0,"",IF(Configuracion!$B$7&lt;&gt;"OK","Revisar ajustes",IF(OR(A115="",NOT(ISNUMBER(B115)),NOT(ISNUMBER(C115)),AND(D115&lt;&gt;"Pendiente",D115&lt;&gt;"Aprobada",D115&lt;&gt;"Cancelada")),"Revisar datos",IF(OR(B115&lt;&gt;INT(B115),C115&lt;&gt;INT(C115),B115&gt;C115,B115&lt;DATE(Configuracion!$B$4,1,1),C115&gt;DATE(Configuracion!$B$4,12,31)),"Revisar fechas",IF(COUNTIF(Resumen!$A$9:$A$38,A115)&lt;&gt;1,"Revisar ID empleado","OK")))))</x:f>
      </x:c>
      <x:c r="H115" s="10" t="str">
        <x:f>IF(G115&lt;&gt;"OK","",SUMIFS(Configuracion!$C$10:$C$375,Configuracion!$A$10:$A$375,"&gt;="&amp;B115,Configuracion!$A$10:$A$375,"&lt;="&amp;C115))</x:f>
      </x:c>
      <x:c r="I115" s="8" t="str">
        <x:f>IF(G115&lt;&gt;"OK","",IF(D115="Cancelada","No aplica",IF(COUNTIFS($A$5:$A$204,A115,$B$5:$B$204,"&lt;="&amp;C115,$C$5:$C$204,"&gt;="&amp;B115,$D$5:$D$204,"&lt;&gt;Cancelada",$G$5:$G$204,"OK")&gt;1,"Solape: revisar","Sin solape")))</x:f>
      </x:c>
    </x:row>
    <x:row r="116" ht="25" customHeight="1">
      <x:c r="A116" s="7"/>
      <x:c r="B116" s="11"/>
      <x:c r="C116" s="11"/>
      <x:c r="D116" s="7"/>
      <x:c r="E116" s="7"/>
      <x:c r="F116" s="2"/>
      <x:c r="G116" s="8" t="str">
        <x:f>IF(COUNTA(A116:E116)=0,"",IF(Configuracion!$B$7&lt;&gt;"OK","Revisar ajustes",IF(OR(A116="",NOT(ISNUMBER(B116)),NOT(ISNUMBER(C116)),AND(D116&lt;&gt;"Pendiente",D116&lt;&gt;"Aprobada",D116&lt;&gt;"Cancelada")),"Revisar datos",IF(OR(B116&lt;&gt;INT(B116),C116&lt;&gt;INT(C116),B116&gt;C116,B116&lt;DATE(Configuracion!$B$4,1,1),C116&gt;DATE(Configuracion!$B$4,12,31)),"Revisar fechas",IF(COUNTIF(Resumen!$A$9:$A$38,A116)&lt;&gt;1,"Revisar ID empleado","OK")))))</x:f>
      </x:c>
      <x:c r="H116" s="10" t="str">
        <x:f>IF(G116&lt;&gt;"OK","",SUMIFS(Configuracion!$C$10:$C$375,Configuracion!$A$10:$A$375,"&gt;="&amp;B116,Configuracion!$A$10:$A$375,"&lt;="&amp;C116))</x:f>
      </x:c>
      <x:c r="I116" s="8" t="str">
        <x:f>IF(G116&lt;&gt;"OK","",IF(D116="Cancelada","No aplica",IF(COUNTIFS($A$5:$A$204,A116,$B$5:$B$204,"&lt;="&amp;C116,$C$5:$C$204,"&gt;="&amp;B116,$D$5:$D$204,"&lt;&gt;Cancelada",$G$5:$G$204,"OK")&gt;1,"Solape: revisar","Sin solape")))</x:f>
      </x:c>
    </x:row>
    <x:row r="117" ht="25" customHeight="1">
      <x:c r="A117" s="7"/>
      <x:c r="B117" s="11"/>
      <x:c r="C117" s="11"/>
      <x:c r="D117" s="7"/>
      <x:c r="E117" s="7"/>
      <x:c r="F117" s="2"/>
      <x:c r="G117" s="8" t="str">
        <x:f>IF(COUNTA(A117:E117)=0,"",IF(Configuracion!$B$7&lt;&gt;"OK","Revisar ajustes",IF(OR(A117="",NOT(ISNUMBER(B117)),NOT(ISNUMBER(C117)),AND(D117&lt;&gt;"Pendiente",D117&lt;&gt;"Aprobada",D117&lt;&gt;"Cancelada")),"Revisar datos",IF(OR(B117&lt;&gt;INT(B117),C117&lt;&gt;INT(C117),B117&gt;C117,B117&lt;DATE(Configuracion!$B$4,1,1),C117&gt;DATE(Configuracion!$B$4,12,31)),"Revisar fechas",IF(COUNTIF(Resumen!$A$9:$A$38,A117)&lt;&gt;1,"Revisar ID empleado","OK")))))</x:f>
      </x:c>
      <x:c r="H117" s="10" t="str">
        <x:f>IF(G117&lt;&gt;"OK","",SUMIFS(Configuracion!$C$10:$C$375,Configuracion!$A$10:$A$375,"&gt;="&amp;B117,Configuracion!$A$10:$A$375,"&lt;="&amp;C117))</x:f>
      </x:c>
      <x:c r="I117" s="8" t="str">
        <x:f>IF(G117&lt;&gt;"OK","",IF(D117="Cancelada","No aplica",IF(COUNTIFS($A$5:$A$204,A117,$B$5:$B$204,"&lt;="&amp;C117,$C$5:$C$204,"&gt;="&amp;B117,$D$5:$D$204,"&lt;&gt;Cancelada",$G$5:$G$204,"OK")&gt;1,"Solape: revisar","Sin solape")))</x:f>
      </x:c>
    </x:row>
    <x:row r="118" ht="25" customHeight="1">
      <x:c r="A118" s="7"/>
      <x:c r="B118" s="11"/>
      <x:c r="C118" s="11"/>
      <x:c r="D118" s="7"/>
      <x:c r="E118" s="7"/>
      <x:c r="F118" s="2"/>
      <x:c r="G118" s="8" t="str">
        <x:f>IF(COUNTA(A118:E118)=0,"",IF(Configuracion!$B$7&lt;&gt;"OK","Revisar ajustes",IF(OR(A118="",NOT(ISNUMBER(B118)),NOT(ISNUMBER(C118)),AND(D118&lt;&gt;"Pendiente",D118&lt;&gt;"Aprobada",D118&lt;&gt;"Cancelada")),"Revisar datos",IF(OR(B118&lt;&gt;INT(B118),C118&lt;&gt;INT(C118),B118&gt;C118,B118&lt;DATE(Configuracion!$B$4,1,1),C118&gt;DATE(Configuracion!$B$4,12,31)),"Revisar fechas",IF(COUNTIF(Resumen!$A$9:$A$38,A118)&lt;&gt;1,"Revisar ID empleado","OK")))))</x:f>
      </x:c>
      <x:c r="H118" s="10" t="str">
        <x:f>IF(G118&lt;&gt;"OK","",SUMIFS(Configuracion!$C$10:$C$375,Configuracion!$A$10:$A$375,"&gt;="&amp;B118,Configuracion!$A$10:$A$375,"&lt;="&amp;C118))</x:f>
      </x:c>
      <x:c r="I118" s="8" t="str">
        <x:f>IF(G118&lt;&gt;"OK","",IF(D118="Cancelada","No aplica",IF(COUNTIFS($A$5:$A$204,A118,$B$5:$B$204,"&lt;="&amp;C118,$C$5:$C$204,"&gt;="&amp;B118,$D$5:$D$204,"&lt;&gt;Cancelada",$G$5:$G$204,"OK")&gt;1,"Solape: revisar","Sin solape")))</x:f>
      </x:c>
    </x:row>
    <x:row r="119" ht="25" customHeight="1">
      <x:c r="A119" s="7"/>
      <x:c r="B119" s="11"/>
      <x:c r="C119" s="11"/>
      <x:c r="D119" s="7"/>
      <x:c r="E119" s="7"/>
      <x:c r="F119" s="2"/>
      <x:c r="G119" s="8" t="str">
        <x:f>IF(COUNTA(A119:E119)=0,"",IF(Configuracion!$B$7&lt;&gt;"OK","Revisar ajustes",IF(OR(A119="",NOT(ISNUMBER(B119)),NOT(ISNUMBER(C119)),AND(D119&lt;&gt;"Pendiente",D119&lt;&gt;"Aprobada",D119&lt;&gt;"Cancelada")),"Revisar datos",IF(OR(B119&lt;&gt;INT(B119),C119&lt;&gt;INT(C119),B119&gt;C119,B119&lt;DATE(Configuracion!$B$4,1,1),C119&gt;DATE(Configuracion!$B$4,12,31)),"Revisar fechas",IF(COUNTIF(Resumen!$A$9:$A$38,A119)&lt;&gt;1,"Revisar ID empleado","OK")))))</x:f>
      </x:c>
      <x:c r="H119" s="10" t="str">
        <x:f>IF(G119&lt;&gt;"OK","",SUMIFS(Configuracion!$C$10:$C$375,Configuracion!$A$10:$A$375,"&gt;="&amp;B119,Configuracion!$A$10:$A$375,"&lt;="&amp;C119))</x:f>
      </x:c>
      <x:c r="I119" s="8" t="str">
        <x:f>IF(G119&lt;&gt;"OK","",IF(D119="Cancelada","No aplica",IF(COUNTIFS($A$5:$A$204,A119,$B$5:$B$204,"&lt;="&amp;C119,$C$5:$C$204,"&gt;="&amp;B119,$D$5:$D$204,"&lt;&gt;Cancelada",$G$5:$G$204,"OK")&gt;1,"Solape: revisar","Sin solape")))</x:f>
      </x:c>
    </x:row>
    <x:row r="120" ht="25" customHeight="1">
      <x:c r="A120" s="7"/>
      <x:c r="B120" s="11"/>
      <x:c r="C120" s="11"/>
      <x:c r="D120" s="7"/>
      <x:c r="E120" s="7"/>
      <x:c r="F120" s="2"/>
      <x:c r="G120" s="8" t="str">
        <x:f>IF(COUNTA(A120:E120)=0,"",IF(Configuracion!$B$7&lt;&gt;"OK","Revisar ajustes",IF(OR(A120="",NOT(ISNUMBER(B120)),NOT(ISNUMBER(C120)),AND(D120&lt;&gt;"Pendiente",D120&lt;&gt;"Aprobada",D120&lt;&gt;"Cancelada")),"Revisar datos",IF(OR(B120&lt;&gt;INT(B120),C120&lt;&gt;INT(C120),B120&gt;C120,B120&lt;DATE(Configuracion!$B$4,1,1),C120&gt;DATE(Configuracion!$B$4,12,31)),"Revisar fechas",IF(COUNTIF(Resumen!$A$9:$A$38,A120)&lt;&gt;1,"Revisar ID empleado","OK")))))</x:f>
      </x:c>
      <x:c r="H120" s="10" t="str">
        <x:f>IF(G120&lt;&gt;"OK","",SUMIFS(Configuracion!$C$10:$C$375,Configuracion!$A$10:$A$375,"&gt;="&amp;B120,Configuracion!$A$10:$A$375,"&lt;="&amp;C120))</x:f>
      </x:c>
      <x:c r="I120" s="8" t="str">
        <x:f>IF(G120&lt;&gt;"OK","",IF(D120="Cancelada","No aplica",IF(COUNTIFS($A$5:$A$204,A120,$B$5:$B$204,"&lt;="&amp;C120,$C$5:$C$204,"&gt;="&amp;B120,$D$5:$D$204,"&lt;&gt;Cancelada",$G$5:$G$204,"OK")&gt;1,"Solape: revisar","Sin solape")))</x:f>
      </x:c>
    </x:row>
    <x:row r="121" ht="25" customHeight="1">
      <x:c r="A121" s="7"/>
      <x:c r="B121" s="11"/>
      <x:c r="C121" s="11"/>
      <x:c r="D121" s="7"/>
      <x:c r="E121" s="7"/>
      <x:c r="F121" s="2"/>
      <x:c r="G121" s="8" t="str">
        <x:f>IF(COUNTA(A121:E121)=0,"",IF(Configuracion!$B$7&lt;&gt;"OK","Revisar ajustes",IF(OR(A121="",NOT(ISNUMBER(B121)),NOT(ISNUMBER(C121)),AND(D121&lt;&gt;"Pendiente",D121&lt;&gt;"Aprobada",D121&lt;&gt;"Cancelada")),"Revisar datos",IF(OR(B121&lt;&gt;INT(B121),C121&lt;&gt;INT(C121),B121&gt;C121,B121&lt;DATE(Configuracion!$B$4,1,1),C121&gt;DATE(Configuracion!$B$4,12,31)),"Revisar fechas",IF(COUNTIF(Resumen!$A$9:$A$38,A121)&lt;&gt;1,"Revisar ID empleado","OK")))))</x:f>
      </x:c>
      <x:c r="H121" s="10" t="str">
        <x:f>IF(G121&lt;&gt;"OK","",SUMIFS(Configuracion!$C$10:$C$375,Configuracion!$A$10:$A$375,"&gt;="&amp;B121,Configuracion!$A$10:$A$375,"&lt;="&amp;C121))</x:f>
      </x:c>
      <x:c r="I121" s="8" t="str">
        <x:f>IF(G121&lt;&gt;"OK","",IF(D121="Cancelada","No aplica",IF(COUNTIFS($A$5:$A$204,A121,$B$5:$B$204,"&lt;="&amp;C121,$C$5:$C$204,"&gt;="&amp;B121,$D$5:$D$204,"&lt;&gt;Cancelada",$G$5:$G$204,"OK")&gt;1,"Solape: revisar","Sin solape")))</x:f>
      </x:c>
    </x:row>
    <x:row r="122" ht="25" customHeight="1">
      <x:c r="A122" s="7"/>
      <x:c r="B122" s="11"/>
      <x:c r="C122" s="11"/>
      <x:c r="D122" s="7"/>
      <x:c r="E122" s="7"/>
      <x:c r="F122" s="2"/>
      <x:c r="G122" s="8" t="str">
        <x:f>IF(COUNTA(A122:E122)=0,"",IF(Configuracion!$B$7&lt;&gt;"OK","Revisar ajustes",IF(OR(A122="",NOT(ISNUMBER(B122)),NOT(ISNUMBER(C122)),AND(D122&lt;&gt;"Pendiente",D122&lt;&gt;"Aprobada",D122&lt;&gt;"Cancelada")),"Revisar datos",IF(OR(B122&lt;&gt;INT(B122),C122&lt;&gt;INT(C122),B122&gt;C122,B122&lt;DATE(Configuracion!$B$4,1,1),C122&gt;DATE(Configuracion!$B$4,12,31)),"Revisar fechas",IF(COUNTIF(Resumen!$A$9:$A$38,A122)&lt;&gt;1,"Revisar ID empleado","OK")))))</x:f>
      </x:c>
      <x:c r="H122" s="10" t="str">
        <x:f>IF(G122&lt;&gt;"OK","",SUMIFS(Configuracion!$C$10:$C$375,Configuracion!$A$10:$A$375,"&gt;="&amp;B122,Configuracion!$A$10:$A$375,"&lt;="&amp;C122))</x:f>
      </x:c>
      <x:c r="I122" s="8" t="str">
        <x:f>IF(G122&lt;&gt;"OK","",IF(D122="Cancelada","No aplica",IF(COUNTIFS($A$5:$A$204,A122,$B$5:$B$204,"&lt;="&amp;C122,$C$5:$C$204,"&gt;="&amp;B122,$D$5:$D$204,"&lt;&gt;Cancelada",$G$5:$G$204,"OK")&gt;1,"Solape: revisar","Sin solape")))</x:f>
      </x:c>
    </x:row>
    <x:row r="123" ht="25" customHeight="1">
      <x:c r="A123" s="7"/>
      <x:c r="B123" s="11"/>
      <x:c r="C123" s="11"/>
      <x:c r="D123" s="7"/>
      <x:c r="E123" s="7"/>
      <x:c r="F123" s="2"/>
      <x:c r="G123" s="8" t="str">
        <x:f>IF(COUNTA(A123:E123)=0,"",IF(Configuracion!$B$7&lt;&gt;"OK","Revisar ajustes",IF(OR(A123="",NOT(ISNUMBER(B123)),NOT(ISNUMBER(C123)),AND(D123&lt;&gt;"Pendiente",D123&lt;&gt;"Aprobada",D123&lt;&gt;"Cancelada")),"Revisar datos",IF(OR(B123&lt;&gt;INT(B123),C123&lt;&gt;INT(C123),B123&gt;C123,B123&lt;DATE(Configuracion!$B$4,1,1),C123&gt;DATE(Configuracion!$B$4,12,31)),"Revisar fechas",IF(COUNTIF(Resumen!$A$9:$A$38,A123)&lt;&gt;1,"Revisar ID empleado","OK")))))</x:f>
      </x:c>
      <x:c r="H123" s="10" t="str">
        <x:f>IF(G123&lt;&gt;"OK","",SUMIFS(Configuracion!$C$10:$C$375,Configuracion!$A$10:$A$375,"&gt;="&amp;B123,Configuracion!$A$10:$A$375,"&lt;="&amp;C123))</x:f>
      </x:c>
      <x:c r="I123" s="8" t="str">
        <x:f>IF(G123&lt;&gt;"OK","",IF(D123="Cancelada","No aplica",IF(COUNTIFS($A$5:$A$204,A123,$B$5:$B$204,"&lt;="&amp;C123,$C$5:$C$204,"&gt;="&amp;B123,$D$5:$D$204,"&lt;&gt;Cancelada",$G$5:$G$204,"OK")&gt;1,"Solape: revisar","Sin solape")))</x:f>
      </x:c>
    </x:row>
    <x:row r="124" ht="25" customHeight="1">
      <x:c r="A124" s="7"/>
      <x:c r="B124" s="11"/>
      <x:c r="C124" s="11"/>
      <x:c r="D124" s="7"/>
      <x:c r="E124" s="7"/>
      <x:c r="F124" s="2"/>
      <x:c r="G124" s="8" t="str">
        <x:f>IF(COUNTA(A124:E124)=0,"",IF(Configuracion!$B$7&lt;&gt;"OK","Revisar ajustes",IF(OR(A124="",NOT(ISNUMBER(B124)),NOT(ISNUMBER(C124)),AND(D124&lt;&gt;"Pendiente",D124&lt;&gt;"Aprobada",D124&lt;&gt;"Cancelada")),"Revisar datos",IF(OR(B124&lt;&gt;INT(B124),C124&lt;&gt;INT(C124),B124&gt;C124,B124&lt;DATE(Configuracion!$B$4,1,1),C124&gt;DATE(Configuracion!$B$4,12,31)),"Revisar fechas",IF(COUNTIF(Resumen!$A$9:$A$38,A124)&lt;&gt;1,"Revisar ID empleado","OK")))))</x:f>
      </x:c>
      <x:c r="H124" s="10" t="str">
        <x:f>IF(G124&lt;&gt;"OK","",SUMIFS(Configuracion!$C$10:$C$375,Configuracion!$A$10:$A$375,"&gt;="&amp;B124,Configuracion!$A$10:$A$375,"&lt;="&amp;C124))</x:f>
      </x:c>
      <x:c r="I124" s="8" t="str">
        <x:f>IF(G124&lt;&gt;"OK","",IF(D124="Cancelada","No aplica",IF(COUNTIFS($A$5:$A$204,A124,$B$5:$B$204,"&lt;="&amp;C124,$C$5:$C$204,"&gt;="&amp;B124,$D$5:$D$204,"&lt;&gt;Cancelada",$G$5:$G$204,"OK")&gt;1,"Solape: revisar","Sin solape")))</x:f>
      </x:c>
    </x:row>
    <x:row r="125" ht="25" customHeight="1">
      <x:c r="A125" s="7"/>
      <x:c r="B125" s="11"/>
      <x:c r="C125" s="11"/>
      <x:c r="D125" s="7"/>
      <x:c r="E125" s="7"/>
      <x:c r="F125" s="2"/>
      <x:c r="G125" s="8" t="str">
        <x:f>IF(COUNTA(A125:E125)=0,"",IF(Configuracion!$B$7&lt;&gt;"OK","Revisar ajustes",IF(OR(A125="",NOT(ISNUMBER(B125)),NOT(ISNUMBER(C125)),AND(D125&lt;&gt;"Pendiente",D125&lt;&gt;"Aprobada",D125&lt;&gt;"Cancelada")),"Revisar datos",IF(OR(B125&lt;&gt;INT(B125),C125&lt;&gt;INT(C125),B125&gt;C125,B125&lt;DATE(Configuracion!$B$4,1,1),C125&gt;DATE(Configuracion!$B$4,12,31)),"Revisar fechas",IF(COUNTIF(Resumen!$A$9:$A$38,A125)&lt;&gt;1,"Revisar ID empleado","OK")))))</x:f>
      </x:c>
      <x:c r="H125" s="10" t="str">
        <x:f>IF(G125&lt;&gt;"OK","",SUMIFS(Configuracion!$C$10:$C$375,Configuracion!$A$10:$A$375,"&gt;="&amp;B125,Configuracion!$A$10:$A$375,"&lt;="&amp;C125))</x:f>
      </x:c>
      <x:c r="I125" s="8" t="str">
        <x:f>IF(G125&lt;&gt;"OK","",IF(D125="Cancelada","No aplica",IF(COUNTIFS($A$5:$A$204,A125,$B$5:$B$204,"&lt;="&amp;C125,$C$5:$C$204,"&gt;="&amp;B125,$D$5:$D$204,"&lt;&gt;Cancelada",$G$5:$G$204,"OK")&gt;1,"Solape: revisar","Sin solape")))</x:f>
      </x:c>
    </x:row>
    <x:row r="126" ht="25" customHeight="1">
      <x:c r="A126" s="7"/>
      <x:c r="B126" s="11"/>
      <x:c r="C126" s="11"/>
      <x:c r="D126" s="7"/>
      <x:c r="E126" s="7"/>
      <x:c r="F126" s="2"/>
      <x:c r="G126" s="8" t="str">
        <x:f>IF(COUNTA(A126:E126)=0,"",IF(Configuracion!$B$7&lt;&gt;"OK","Revisar ajustes",IF(OR(A126="",NOT(ISNUMBER(B126)),NOT(ISNUMBER(C126)),AND(D126&lt;&gt;"Pendiente",D126&lt;&gt;"Aprobada",D126&lt;&gt;"Cancelada")),"Revisar datos",IF(OR(B126&lt;&gt;INT(B126),C126&lt;&gt;INT(C126),B126&gt;C126,B126&lt;DATE(Configuracion!$B$4,1,1),C126&gt;DATE(Configuracion!$B$4,12,31)),"Revisar fechas",IF(COUNTIF(Resumen!$A$9:$A$38,A126)&lt;&gt;1,"Revisar ID empleado","OK")))))</x:f>
      </x:c>
      <x:c r="H126" s="10" t="str">
        <x:f>IF(G126&lt;&gt;"OK","",SUMIFS(Configuracion!$C$10:$C$375,Configuracion!$A$10:$A$375,"&gt;="&amp;B126,Configuracion!$A$10:$A$375,"&lt;="&amp;C126))</x:f>
      </x:c>
      <x:c r="I126" s="8" t="str">
        <x:f>IF(G126&lt;&gt;"OK","",IF(D126="Cancelada","No aplica",IF(COUNTIFS($A$5:$A$204,A126,$B$5:$B$204,"&lt;="&amp;C126,$C$5:$C$204,"&gt;="&amp;B126,$D$5:$D$204,"&lt;&gt;Cancelada",$G$5:$G$204,"OK")&gt;1,"Solape: revisar","Sin solape")))</x:f>
      </x:c>
    </x:row>
    <x:row r="127" ht="25" customHeight="1">
      <x:c r="A127" s="7"/>
      <x:c r="B127" s="11"/>
      <x:c r="C127" s="11"/>
      <x:c r="D127" s="7"/>
      <x:c r="E127" s="7"/>
      <x:c r="F127" s="2"/>
      <x:c r="G127" s="8" t="str">
        <x:f>IF(COUNTA(A127:E127)=0,"",IF(Configuracion!$B$7&lt;&gt;"OK","Revisar ajustes",IF(OR(A127="",NOT(ISNUMBER(B127)),NOT(ISNUMBER(C127)),AND(D127&lt;&gt;"Pendiente",D127&lt;&gt;"Aprobada",D127&lt;&gt;"Cancelada")),"Revisar datos",IF(OR(B127&lt;&gt;INT(B127),C127&lt;&gt;INT(C127),B127&gt;C127,B127&lt;DATE(Configuracion!$B$4,1,1),C127&gt;DATE(Configuracion!$B$4,12,31)),"Revisar fechas",IF(COUNTIF(Resumen!$A$9:$A$38,A127)&lt;&gt;1,"Revisar ID empleado","OK")))))</x:f>
      </x:c>
      <x:c r="H127" s="10" t="str">
        <x:f>IF(G127&lt;&gt;"OK","",SUMIFS(Configuracion!$C$10:$C$375,Configuracion!$A$10:$A$375,"&gt;="&amp;B127,Configuracion!$A$10:$A$375,"&lt;="&amp;C127))</x:f>
      </x:c>
      <x:c r="I127" s="8" t="str">
        <x:f>IF(G127&lt;&gt;"OK","",IF(D127="Cancelada","No aplica",IF(COUNTIFS($A$5:$A$204,A127,$B$5:$B$204,"&lt;="&amp;C127,$C$5:$C$204,"&gt;="&amp;B127,$D$5:$D$204,"&lt;&gt;Cancelada",$G$5:$G$204,"OK")&gt;1,"Solape: revisar","Sin solape")))</x:f>
      </x:c>
    </x:row>
    <x:row r="128" ht="25" customHeight="1">
      <x:c r="A128" s="7"/>
      <x:c r="B128" s="11"/>
      <x:c r="C128" s="11"/>
      <x:c r="D128" s="7"/>
      <x:c r="E128" s="7"/>
      <x:c r="F128" s="2"/>
      <x:c r="G128" s="8" t="str">
        <x:f>IF(COUNTA(A128:E128)=0,"",IF(Configuracion!$B$7&lt;&gt;"OK","Revisar ajustes",IF(OR(A128="",NOT(ISNUMBER(B128)),NOT(ISNUMBER(C128)),AND(D128&lt;&gt;"Pendiente",D128&lt;&gt;"Aprobada",D128&lt;&gt;"Cancelada")),"Revisar datos",IF(OR(B128&lt;&gt;INT(B128),C128&lt;&gt;INT(C128),B128&gt;C128,B128&lt;DATE(Configuracion!$B$4,1,1),C128&gt;DATE(Configuracion!$B$4,12,31)),"Revisar fechas",IF(COUNTIF(Resumen!$A$9:$A$38,A128)&lt;&gt;1,"Revisar ID empleado","OK")))))</x:f>
      </x:c>
      <x:c r="H128" s="10" t="str">
        <x:f>IF(G128&lt;&gt;"OK","",SUMIFS(Configuracion!$C$10:$C$375,Configuracion!$A$10:$A$375,"&gt;="&amp;B128,Configuracion!$A$10:$A$375,"&lt;="&amp;C128))</x:f>
      </x:c>
      <x:c r="I128" s="8" t="str">
        <x:f>IF(G128&lt;&gt;"OK","",IF(D128="Cancelada","No aplica",IF(COUNTIFS($A$5:$A$204,A128,$B$5:$B$204,"&lt;="&amp;C128,$C$5:$C$204,"&gt;="&amp;B128,$D$5:$D$204,"&lt;&gt;Cancelada",$G$5:$G$204,"OK")&gt;1,"Solape: revisar","Sin solape")))</x:f>
      </x:c>
    </x:row>
    <x:row r="129" ht="25" customHeight="1">
      <x:c r="A129" s="7"/>
      <x:c r="B129" s="11"/>
      <x:c r="C129" s="11"/>
      <x:c r="D129" s="7"/>
      <x:c r="E129" s="7"/>
      <x:c r="F129" s="2"/>
      <x:c r="G129" s="8" t="str">
        <x:f>IF(COUNTA(A129:E129)=0,"",IF(Configuracion!$B$7&lt;&gt;"OK","Revisar ajustes",IF(OR(A129="",NOT(ISNUMBER(B129)),NOT(ISNUMBER(C129)),AND(D129&lt;&gt;"Pendiente",D129&lt;&gt;"Aprobada",D129&lt;&gt;"Cancelada")),"Revisar datos",IF(OR(B129&lt;&gt;INT(B129),C129&lt;&gt;INT(C129),B129&gt;C129,B129&lt;DATE(Configuracion!$B$4,1,1),C129&gt;DATE(Configuracion!$B$4,12,31)),"Revisar fechas",IF(COUNTIF(Resumen!$A$9:$A$38,A129)&lt;&gt;1,"Revisar ID empleado","OK")))))</x:f>
      </x:c>
      <x:c r="H129" s="10" t="str">
        <x:f>IF(G129&lt;&gt;"OK","",SUMIFS(Configuracion!$C$10:$C$375,Configuracion!$A$10:$A$375,"&gt;="&amp;B129,Configuracion!$A$10:$A$375,"&lt;="&amp;C129))</x:f>
      </x:c>
      <x:c r="I129" s="8" t="str">
        <x:f>IF(G129&lt;&gt;"OK","",IF(D129="Cancelada","No aplica",IF(COUNTIFS($A$5:$A$204,A129,$B$5:$B$204,"&lt;="&amp;C129,$C$5:$C$204,"&gt;="&amp;B129,$D$5:$D$204,"&lt;&gt;Cancelada",$G$5:$G$204,"OK")&gt;1,"Solape: revisar","Sin solape")))</x:f>
      </x:c>
    </x:row>
    <x:row r="130" ht="25" customHeight="1">
      <x:c r="A130" s="7"/>
      <x:c r="B130" s="11"/>
      <x:c r="C130" s="11"/>
      <x:c r="D130" s="7"/>
      <x:c r="E130" s="7"/>
      <x:c r="F130" s="2"/>
      <x:c r="G130" s="8" t="str">
        <x:f>IF(COUNTA(A130:E130)=0,"",IF(Configuracion!$B$7&lt;&gt;"OK","Revisar ajustes",IF(OR(A130="",NOT(ISNUMBER(B130)),NOT(ISNUMBER(C130)),AND(D130&lt;&gt;"Pendiente",D130&lt;&gt;"Aprobada",D130&lt;&gt;"Cancelada")),"Revisar datos",IF(OR(B130&lt;&gt;INT(B130),C130&lt;&gt;INT(C130),B130&gt;C130,B130&lt;DATE(Configuracion!$B$4,1,1),C130&gt;DATE(Configuracion!$B$4,12,31)),"Revisar fechas",IF(COUNTIF(Resumen!$A$9:$A$38,A130)&lt;&gt;1,"Revisar ID empleado","OK")))))</x:f>
      </x:c>
      <x:c r="H130" s="10" t="str">
        <x:f>IF(G130&lt;&gt;"OK","",SUMIFS(Configuracion!$C$10:$C$375,Configuracion!$A$10:$A$375,"&gt;="&amp;B130,Configuracion!$A$10:$A$375,"&lt;="&amp;C130))</x:f>
      </x:c>
      <x:c r="I130" s="8" t="str">
        <x:f>IF(G130&lt;&gt;"OK","",IF(D130="Cancelada","No aplica",IF(COUNTIFS($A$5:$A$204,A130,$B$5:$B$204,"&lt;="&amp;C130,$C$5:$C$204,"&gt;="&amp;B130,$D$5:$D$204,"&lt;&gt;Cancelada",$G$5:$G$204,"OK")&gt;1,"Solape: revisar","Sin solape")))</x:f>
      </x:c>
    </x:row>
    <x:row r="131" ht="25" customHeight="1">
      <x:c r="A131" s="7"/>
      <x:c r="B131" s="11"/>
      <x:c r="C131" s="11"/>
      <x:c r="D131" s="7"/>
      <x:c r="E131" s="7"/>
      <x:c r="F131" s="2"/>
      <x:c r="G131" s="8" t="str">
        <x:f>IF(COUNTA(A131:E131)=0,"",IF(Configuracion!$B$7&lt;&gt;"OK","Revisar ajustes",IF(OR(A131="",NOT(ISNUMBER(B131)),NOT(ISNUMBER(C131)),AND(D131&lt;&gt;"Pendiente",D131&lt;&gt;"Aprobada",D131&lt;&gt;"Cancelada")),"Revisar datos",IF(OR(B131&lt;&gt;INT(B131),C131&lt;&gt;INT(C131),B131&gt;C131,B131&lt;DATE(Configuracion!$B$4,1,1),C131&gt;DATE(Configuracion!$B$4,12,31)),"Revisar fechas",IF(COUNTIF(Resumen!$A$9:$A$38,A131)&lt;&gt;1,"Revisar ID empleado","OK")))))</x:f>
      </x:c>
      <x:c r="H131" s="10" t="str">
        <x:f>IF(G131&lt;&gt;"OK","",SUMIFS(Configuracion!$C$10:$C$375,Configuracion!$A$10:$A$375,"&gt;="&amp;B131,Configuracion!$A$10:$A$375,"&lt;="&amp;C131))</x:f>
      </x:c>
      <x:c r="I131" s="8" t="str">
        <x:f>IF(G131&lt;&gt;"OK","",IF(D131="Cancelada","No aplica",IF(COUNTIFS($A$5:$A$204,A131,$B$5:$B$204,"&lt;="&amp;C131,$C$5:$C$204,"&gt;="&amp;B131,$D$5:$D$204,"&lt;&gt;Cancelada",$G$5:$G$204,"OK")&gt;1,"Solape: revisar","Sin solape")))</x:f>
      </x:c>
    </x:row>
    <x:row r="132" ht="25" customHeight="1">
      <x:c r="A132" s="7"/>
      <x:c r="B132" s="11"/>
      <x:c r="C132" s="11"/>
      <x:c r="D132" s="7"/>
      <x:c r="E132" s="7"/>
      <x:c r="F132" s="2"/>
      <x:c r="G132" s="8" t="str">
        <x:f>IF(COUNTA(A132:E132)=0,"",IF(Configuracion!$B$7&lt;&gt;"OK","Revisar ajustes",IF(OR(A132="",NOT(ISNUMBER(B132)),NOT(ISNUMBER(C132)),AND(D132&lt;&gt;"Pendiente",D132&lt;&gt;"Aprobada",D132&lt;&gt;"Cancelada")),"Revisar datos",IF(OR(B132&lt;&gt;INT(B132),C132&lt;&gt;INT(C132),B132&gt;C132,B132&lt;DATE(Configuracion!$B$4,1,1),C132&gt;DATE(Configuracion!$B$4,12,31)),"Revisar fechas",IF(COUNTIF(Resumen!$A$9:$A$38,A132)&lt;&gt;1,"Revisar ID empleado","OK")))))</x:f>
      </x:c>
      <x:c r="H132" s="10" t="str">
        <x:f>IF(G132&lt;&gt;"OK","",SUMIFS(Configuracion!$C$10:$C$375,Configuracion!$A$10:$A$375,"&gt;="&amp;B132,Configuracion!$A$10:$A$375,"&lt;="&amp;C132))</x:f>
      </x:c>
      <x:c r="I132" s="8" t="str">
        <x:f>IF(G132&lt;&gt;"OK","",IF(D132="Cancelada","No aplica",IF(COUNTIFS($A$5:$A$204,A132,$B$5:$B$204,"&lt;="&amp;C132,$C$5:$C$204,"&gt;="&amp;B132,$D$5:$D$204,"&lt;&gt;Cancelada",$G$5:$G$204,"OK")&gt;1,"Solape: revisar","Sin solape")))</x:f>
      </x:c>
    </x:row>
    <x:row r="133" ht="25" customHeight="1">
      <x:c r="A133" s="7"/>
      <x:c r="B133" s="11"/>
      <x:c r="C133" s="11"/>
      <x:c r="D133" s="7"/>
      <x:c r="E133" s="7"/>
      <x:c r="F133" s="2"/>
      <x:c r="G133" s="8" t="str">
        <x:f>IF(COUNTA(A133:E133)=0,"",IF(Configuracion!$B$7&lt;&gt;"OK","Revisar ajustes",IF(OR(A133="",NOT(ISNUMBER(B133)),NOT(ISNUMBER(C133)),AND(D133&lt;&gt;"Pendiente",D133&lt;&gt;"Aprobada",D133&lt;&gt;"Cancelada")),"Revisar datos",IF(OR(B133&lt;&gt;INT(B133),C133&lt;&gt;INT(C133),B133&gt;C133,B133&lt;DATE(Configuracion!$B$4,1,1),C133&gt;DATE(Configuracion!$B$4,12,31)),"Revisar fechas",IF(COUNTIF(Resumen!$A$9:$A$38,A133)&lt;&gt;1,"Revisar ID empleado","OK")))))</x:f>
      </x:c>
      <x:c r="H133" s="10" t="str">
        <x:f>IF(G133&lt;&gt;"OK","",SUMIFS(Configuracion!$C$10:$C$375,Configuracion!$A$10:$A$375,"&gt;="&amp;B133,Configuracion!$A$10:$A$375,"&lt;="&amp;C133))</x:f>
      </x:c>
      <x:c r="I133" s="8" t="str">
        <x:f>IF(G133&lt;&gt;"OK","",IF(D133="Cancelada","No aplica",IF(COUNTIFS($A$5:$A$204,A133,$B$5:$B$204,"&lt;="&amp;C133,$C$5:$C$204,"&gt;="&amp;B133,$D$5:$D$204,"&lt;&gt;Cancelada",$G$5:$G$204,"OK")&gt;1,"Solape: revisar","Sin solape")))</x:f>
      </x:c>
    </x:row>
    <x:row r="134" ht="25" customHeight="1">
      <x:c r="A134" s="7"/>
      <x:c r="B134" s="11"/>
      <x:c r="C134" s="11"/>
      <x:c r="D134" s="7"/>
      <x:c r="E134" s="7"/>
      <x:c r="F134" s="2"/>
      <x:c r="G134" s="8" t="str">
        <x:f>IF(COUNTA(A134:E134)=0,"",IF(Configuracion!$B$7&lt;&gt;"OK","Revisar ajustes",IF(OR(A134="",NOT(ISNUMBER(B134)),NOT(ISNUMBER(C134)),AND(D134&lt;&gt;"Pendiente",D134&lt;&gt;"Aprobada",D134&lt;&gt;"Cancelada")),"Revisar datos",IF(OR(B134&lt;&gt;INT(B134),C134&lt;&gt;INT(C134),B134&gt;C134,B134&lt;DATE(Configuracion!$B$4,1,1),C134&gt;DATE(Configuracion!$B$4,12,31)),"Revisar fechas",IF(COUNTIF(Resumen!$A$9:$A$38,A134)&lt;&gt;1,"Revisar ID empleado","OK")))))</x:f>
      </x:c>
      <x:c r="H134" s="10" t="str">
        <x:f>IF(G134&lt;&gt;"OK","",SUMIFS(Configuracion!$C$10:$C$375,Configuracion!$A$10:$A$375,"&gt;="&amp;B134,Configuracion!$A$10:$A$375,"&lt;="&amp;C134))</x:f>
      </x:c>
      <x:c r="I134" s="8" t="str">
        <x:f>IF(G134&lt;&gt;"OK","",IF(D134="Cancelada","No aplica",IF(COUNTIFS($A$5:$A$204,A134,$B$5:$B$204,"&lt;="&amp;C134,$C$5:$C$204,"&gt;="&amp;B134,$D$5:$D$204,"&lt;&gt;Cancelada",$G$5:$G$204,"OK")&gt;1,"Solape: revisar","Sin solape")))</x:f>
      </x:c>
    </x:row>
    <x:row r="135" ht="25" customHeight="1">
      <x:c r="A135" s="7"/>
      <x:c r="B135" s="11"/>
      <x:c r="C135" s="11"/>
      <x:c r="D135" s="7"/>
      <x:c r="E135" s="7"/>
      <x:c r="F135" s="2"/>
      <x:c r="G135" s="8" t="str">
        <x:f>IF(COUNTA(A135:E135)=0,"",IF(Configuracion!$B$7&lt;&gt;"OK","Revisar ajustes",IF(OR(A135="",NOT(ISNUMBER(B135)),NOT(ISNUMBER(C135)),AND(D135&lt;&gt;"Pendiente",D135&lt;&gt;"Aprobada",D135&lt;&gt;"Cancelada")),"Revisar datos",IF(OR(B135&lt;&gt;INT(B135),C135&lt;&gt;INT(C135),B135&gt;C135,B135&lt;DATE(Configuracion!$B$4,1,1),C135&gt;DATE(Configuracion!$B$4,12,31)),"Revisar fechas",IF(COUNTIF(Resumen!$A$9:$A$38,A135)&lt;&gt;1,"Revisar ID empleado","OK")))))</x:f>
      </x:c>
      <x:c r="H135" s="10" t="str">
        <x:f>IF(G135&lt;&gt;"OK","",SUMIFS(Configuracion!$C$10:$C$375,Configuracion!$A$10:$A$375,"&gt;="&amp;B135,Configuracion!$A$10:$A$375,"&lt;="&amp;C135))</x:f>
      </x:c>
      <x:c r="I135" s="8" t="str">
        <x:f>IF(G135&lt;&gt;"OK","",IF(D135="Cancelada","No aplica",IF(COUNTIFS($A$5:$A$204,A135,$B$5:$B$204,"&lt;="&amp;C135,$C$5:$C$204,"&gt;="&amp;B135,$D$5:$D$204,"&lt;&gt;Cancelada",$G$5:$G$204,"OK")&gt;1,"Solape: revisar","Sin solape")))</x:f>
      </x:c>
    </x:row>
    <x:row r="136" ht="25" customHeight="1">
      <x:c r="A136" s="7"/>
      <x:c r="B136" s="11"/>
      <x:c r="C136" s="11"/>
      <x:c r="D136" s="7"/>
      <x:c r="E136" s="7"/>
      <x:c r="F136" s="2"/>
      <x:c r="G136" s="8" t="str">
        <x:f>IF(COUNTA(A136:E136)=0,"",IF(Configuracion!$B$7&lt;&gt;"OK","Revisar ajustes",IF(OR(A136="",NOT(ISNUMBER(B136)),NOT(ISNUMBER(C136)),AND(D136&lt;&gt;"Pendiente",D136&lt;&gt;"Aprobada",D136&lt;&gt;"Cancelada")),"Revisar datos",IF(OR(B136&lt;&gt;INT(B136),C136&lt;&gt;INT(C136),B136&gt;C136,B136&lt;DATE(Configuracion!$B$4,1,1),C136&gt;DATE(Configuracion!$B$4,12,31)),"Revisar fechas",IF(COUNTIF(Resumen!$A$9:$A$38,A136)&lt;&gt;1,"Revisar ID empleado","OK")))))</x:f>
      </x:c>
      <x:c r="H136" s="10" t="str">
        <x:f>IF(G136&lt;&gt;"OK","",SUMIFS(Configuracion!$C$10:$C$375,Configuracion!$A$10:$A$375,"&gt;="&amp;B136,Configuracion!$A$10:$A$375,"&lt;="&amp;C136))</x:f>
      </x:c>
      <x:c r="I136" s="8" t="str">
        <x:f>IF(G136&lt;&gt;"OK","",IF(D136="Cancelada","No aplica",IF(COUNTIFS($A$5:$A$204,A136,$B$5:$B$204,"&lt;="&amp;C136,$C$5:$C$204,"&gt;="&amp;B136,$D$5:$D$204,"&lt;&gt;Cancelada",$G$5:$G$204,"OK")&gt;1,"Solape: revisar","Sin solape")))</x:f>
      </x:c>
    </x:row>
    <x:row r="137" ht="25" customHeight="1">
      <x:c r="A137" s="7"/>
      <x:c r="B137" s="11"/>
      <x:c r="C137" s="11"/>
      <x:c r="D137" s="7"/>
      <x:c r="E137" s="7"/>
      <x:c r="F137" s="2"/>
      <x:c r="G137" s="8" t="str">
        <x:f>IF(COUNTA(A137:E137)=0,"",IF(Configuracion!$B$7&lt;&gt;"OK","Revisar ajustes",IF(OR(A137="",NOT(ISNUMBER(B137)),NOT(ISNUMBER(C137)),AND(D137&lt;&gt;"Pendiente",D137&lt;&gt;"Aprobada",D137&lt;&gt;"Cancelada")),"Revisar datos",IF(OR(B137&lt;&gt;INT(B137),C137&lt;&gt;INT(C137),B137&gt;C137,B137&lt;DATE(Configuracion!$B$4,1,1),C137&gt;DATE(Configuracion!$B$4,12,31)),"Revisar fechas",IF(COUNTIF(Resumen!$A$9:$A$38,A137)&lt;&gt;1,"Revisar ID empleado","OK")))))</x:f>
      </x:c>
      <x:c r="H137" s="10" t="str">
        <x:f>IF(G137&lt;&gt;"OK","",SUMIFS(Configuracion!$C$10:$C$375,Configuracion!$A$10:$A$375,"&gt;="&amp;B137,Configuracion!$A$10:$A$375,"&lt;="&amp;C137))</x:f>
      </x:c>
      <x:c r="I137" s="8" t="str">
        <x:f>IF(G137&lt;&gt;"OK","",IF(D137="Cancelada","No aplica",IF(COUNTIFS($A$5:$A$204,A137,$B$5:$B$204,"&lt;="&amp;C137,$C$5:$C$204,"&gt;="&amp;B137,$D$5:$D$204,"&lt;&gt;Cancelada",$G$5:$G$204,"OK")&gt;1,"Solape: revisar","Sin solape")))</x:f>
      </x:c>
    </x:row>
    <x:row r="138" ht="25" customHeight="1">
      <x:c r="A138" s="7"/>
      <x:c r="B138" s="11"/>
      <x:c r="C138" s="11"/>
      <x:c r="D138" s="7"/>
      <x:c r="E138" s="7"/>
      <x:c r="F138" s="2"/>
      <x:c r="G138" s="8" t="str">
        <x:f>IF(COUNTA(A138:E138)=0,"",IF(Configuracion!$B$7&lt;&gt;"OK","Revisar ajustes",IF(OR(A138="",NOT(ISNUMBER(B138)),NOT(ISNUMBER(C138)),AND(D138&lt;&gt;"Pendiente",D138&lt;&gt;"Aprobada",D138&lt;&gt;"Cancelada")),"Revisar datos",IF(OR(B138&lt;&gt;INT(B138),C138&lt;&gt;INT(C138),B138&gt;C138,B138&lt;DATE(Configuracion!$B$4,1,1),C138&gt;DATE(Configuracion!$B$4,12,31)),"Revisar fechas",IF(COUNTIF(Resumen!$A$9:$A$38,A138)&lt;&gt;1,"Revisar ID empleado","OK")))))</x:f>
      </x:c>
      <x:c r="H138" s="10" t="str">
        <x:f>IF(G138&lt;&gt;"OK","",SUMIFS(Configuracion!$C$10:$C$375,Configuracion!$A$10:$A$375,"&gt;="&amp;B138,Configuracion!$A$10:$A$375,"&lt;="&amp;C138))</x:f>
      </x:c>
      <x:c r="I138" s="8" t="str">
        <x:f>IF(G138&lt;&gt;"OK","",IF(D138="Cancelada","No aplica",IF(COUNTIFS($A$5:$A$204,A138,$B$5:$B$204,"&lt;="&amp;C138,$C$5:$C$204,"&gt;="&amp;B138,$D$5:$D$204,"&lt;&gt;Cancelada",$G$5:$G$204,"OK")&gt;1,"Solape: revisar","Sin solape")))</x:f>
      </x:c>
    </x:row>
    <x:row r="139" ht="25" customHeight="1">
      <x:c r="A139" s="7"/>
      <x:c r="B139" s="11"/>
      <x:c r="C139" s="11"/>
      <x:c r="D139" s="7"/>
      <x:c r="E139" s="7"/>
      <x:c r="F139" s="2"/>
      <x:c r="G139" s="8" t="str">
        <x:f>IF(COUNTA(A139:E139)=0,"",IF(Configuracion!$B$7&lt;&gt;"OK","Revisar ajustes",IF(OR(A139="",NOT(ISNUMBER(B139)),NOT(ISNUMBER(C139)),AND(D139&lt;&gt;"Pendiente",D139&lt;&gt;"Aprobada",D139&lt;&gt;"Cancelada")),"Revisar datos",IF(OR(B139&lt;&gt;INT(B139),C139&lt;&gt;INT(C139),B139&gt;C139,B139&lt;DATE(Configuracion!$B$4,1,1),C139&gt;DATE(Configuracion!$B$4,12,31)),"Revisar fechas",IF(COUNTIF(Resumen!$A$9:$A$38,A139)&lt;&gt;1,"Revisar ID empleado","OK")))))</x:f>
      </x:c>
      <x:c r="H139" s="10" t="str">
        <x:f>IF(G139&lt;&gt;"OK","",SUMIFS(Configuracion!$C$10:$C$375,Configuracion!$A$10:$A$375,"&gt;="&amp;B139,Configuracion!$A$10:$A$375,"&lt;="&amp;C139))</x:f>
      </x:c>
      <x:c r="I139" s="8" t="str">
        <x:f>IF(G139&lt;&gt;"OK","",IF(D139="Cancelada","No aplica",IF(COUNTIFS($A$5:$A$204,A139,$B$5:$B$204,"&lt;="&amp;C139,$C$5:$C$204,"&gt;="&amp;B139,$D$5:$D$204,"&lt;&gt;Cancelada",$G$5:$G$204,"OK")&gt;1,"Solape: revisar","Sin solape")))</x:f>
      </x:c>
    </x:row>
    <x:row r="140" ht="25" customHeight="1">
      <x:c r="A140" s="7"/>
      <x:c r="B140" s="11"/>
      <x:c r="C140" s="11"/>
      <x:c r="D140" s="7"/>
      <x:c r="E140" s="7"/>
      <x:c r="F140" s="2"/>
      <x:c r="G140" s="8" t="str">
        <x:f>IF(COUNTA(A140:E140)=0,"",IF(Configuracion!$B$7&lt;&gt;"OK","Revisar ajustes",IF(OR(A140="",NOT(ISNUMBER(B140)),NOT(ISNUMBER(C140)),AND(D140&lt;&gt;"Pendiente",D140&lt;&gt;"Aprobada",D140&lt;&gt;"Cancelada")),"Revisar datos",IF(OR(B140&lt;&gt;INT(B140),C140&lt;&gt;INT(C140),B140&gt;C140,B140&lt;DATE(Configuracion!$B$4,1,1),C140&gt;DATE(Configuracion!$B$4,12,31)),"Revisar fechas",IF(COUNTIF(Resumen!$A$9:$A$38,A140)&lt;&gt;1,"Revisar ID empleado","OK")))))</x:f>
      </x:c>
      <x:c r="H140" s="10" t="str">
        <x:f>IF(G140&lt;&gt;"OK","",SUMIFS(Configuracion!$C$10:$C$375,Configuracion!$A$10:$A$375,"&gt;="&amp;B140,Configuracion!$A$10:$A$375,"&lt;="&amp;C140))</x:f>
      </x:c>
      <x:c r="I140" s="8" t="str">
        <x:f>IF(G140&lt;&gt;"OK","",IF(D140="Cancelada","No aplica",IF(COUNTIFS($A$5:$A$204,A140,$B$5:$B$204,"&lt;="&amp;C140,$C$5:$C$204,"&gt;="&amp;B140,$D$5:$D$204,"&lt;&gt;Cancelada",$G$5:$G$204,"OK")&gt;1,"Solape: revisar","Sin solape")))</x:f>
      </x:c>
    </x:row>
    <x:row r="141" ht="25" customHeight="1">
      <x:c r="A141" s="7"/>
      <x:c r="B141" s="11"/>
      <x:c r="C141" s="11"/>
      <x:c r="D141" s="7"/>
      <x:c r="E141" s="7"/>
      <x:c r="F141" s="2"/>
      <x:c r="G141" s="8" t="str">
        <x:f>IF(COUNTA(A141:E141)=0,"",IF(Configuracion!$B$7&lt;&gt;"OK","Revisar ajustes",IF(OR(A141="",NOT(ISNUMBER(B141)),NOT(ISNUMBER(C141)),AND(D141&lt;&gt;"Pendiente",D141&lt;&gt;"Aprobada",D141&lt;&gt;"Cancelada")),"Revisar datos",IF(OR(B141&lt;&gt;INT(B141),C141&lt;&gt;INT(C141),B141&gt;C141,B141&lt;DATE(Configuracion!$B$4,1,1),C141&gt;DATE(Configuracion!$B$4,12,31)),"Revisar fechas",IF(COUNTIF(Resumen!$A$9:$A$38,A141)&lt;&gt;1,"Revisar ID empleado","OK")))))</x:f>
      </x:c>
      <x:c r="H141" s="10" t="str">
        <x:f>IF(G141&lt;&gt;"OK","",SUMIFS(Configuracion!$C$10:$C$375,Configuracion!$A$10:$A$375,"&gt;="&amp;B141,Configuracion!$A$10:$A$375,"&lt;="&amp;C141))</x:f>
      </x:c>
      <x:c r="I141" s="8" t="str">
        <x:f>IF(G141&lt;&gt;"OK","",IF(D141="Cancelada","No aplica",IF(COUNTIFS($A$5:$A$204,A141,$B$5:$B$204,"&lt;="&amp;C141,$C$5:$C$204,"&gt;="&amp;B141,$D$5:$D$204,"&lt;&gt;Cancelada",$G$5:$G$204,"OK")&gt;1,"Solape: revisar","Sin solape")))</x:f>
      </x:c>
    </x:row>
    <x:row r="142" ht="25" customHeight="1">
      <x:c r="A142" s="7"/>
      <x:c r="B142" s="11"/>
      <x:c r="C142" s="11"/>
      <x:c r="D142" s="7"/>
      <x:c r="E142" s="7"/>
      <x:c r="F142" s="2"/>
      <x:c r="G142" s="8" t="str">
        <x:f>IF(COUNTA(A142:E142)=0,"",IF(Configuracion!$B$7&lt;&gt;"OK","Revisar ajustes",IF(OR(A142="",NOT(ISNUMBER(B142)),NOT(ISNUMBER(C142)),AND(D142&lt;&gt;"Pendiente",D142&lt;&gt;"Aprobada",D142&lt;&gt;"Cancelada")),"Revisar datos",IF(OR(B142&lt;&gt;INT(B142),C142&lt;&gt;INT(C142),B142&gt;C142,B142&lt;DATE(Configuracion!$B$4,1,1),C142&gt;DATE(Configuracion!$B$4,12,31)),"Revisar fechas",IF(COUNTIF(Resumen!$A$9:$A$38,A142)&lt;&gt;1,"Revisar ID empleado","OK")))))</x:f>
      </x:c>
      <x:c r="H142" s="10" t="str">
        <x:f>IF(G142&lt;&gt;"OK","",SUMIFS(Configuracion!$C$10:$C$375,Configuracion!$A$10:$A$375,"&gt;="&amp;B142,Configuracion!$A$10:$A$375,"&lt;="&amp;C142))</x:f>
      </x:c>
      <x:c r="I142" s="8" t="str">
        <x:f>IF(G142&lt;&gt;"OK","",IF(D142="Cancelada","No aplica",IF(COUNTIFS($A$5:$A$204,A142,$B$5:$B$204,"&lt;="&amp;C142,$C$5:$C$204,"&gt;="&amp;B142,$D$5:$D$204,"&lt;&gt;Cancelada",$G$5:$G$204,"OK")&gt;1,"Solape: revisar","Sin solape")))</x:f>
      </x:c>
    </x:row>
    <x:row r="143" ht="25" customHeight="1">
      <x:c r="A143" s="7"/>
      <x:c r="B143" s="11"/>
      <x:c r="C143" s="11"/>
      <x:c r="D143" s="7"/>
      <x:c r="E143" s="7"/>
      <x:c r="F143" s="2"/>
      <x:c r="G143" s="8" t="str">
        <x:f>IF(COUNTA(A143:E143)=0,"",IF(Configuracion!$B$7&lt;&gt;"OK","Revisar ajustes",IF(OR(A143="",NOT(ISNUMBER(B143)),NOT(ISNUMBER(C143)),AND(D143&lt;&gt;"Pendiente",D143&lt;&gt;"Aprobada",D143&lt;&gt;"Cancelada")),"Revisar datos",IF(OR(B143&lt;&gt;INT(B143),C143&lt;&gt;INT(C143),B143&gt;C143,B143&lt;DATE(Configuracion!$B$4,1,1),C143&gt;DATE(Configuracion!$B$4,12,31)),"Revisar fechas",IF(COUNTIF(Resumen!$A$9:$A$38,A143)&lt;&gt;1,"Revisar ID empleado","OK")))))</x:f>
      </x:c>
      <x:c r="H143" s="10" t="str">
        <x:f>IF(G143&lt;&gt;"OK","",SUMIFS(Configuracion!$C$10:$C$375,Configuracion!$A$10:$A$375,"&gt;="&amp;B143,Configuracion!$A$10:$A$375,"&lt;="&amp;C143))</x:f>
      </x:c>
      <x:c r="I143" s="8" t="str">
        <x:f>IF(G143&lt;&gt;"OK","",IF(D143="Cancelada","No aplica",IF(COUNTIFS($A$5:$A$204,A143,$B$5:$B$204,"&lt;="&amp;C143,$C$5:$C$204,"&gt;="&amp;B143,$D$5:$D$204,"&lt;&gt;Cancelada",$G$5:$G$204,"OK")&gt;1,"Solape: revisar","Sin solape")))</x:f>
      </x:c>
    </x:row>
    <x:row r="144" ht="25" customHeight="1">
      <x:c r="A144" s="7"/>
      <x:c r="B144" s="11"/>
      <x:c r="C144" s="11"/>
      <x:c r="D144" s="7"/>
      <x:c r="E144" s="7"/>
      <x:c r="F144" s="2"/>
      <x:c r="G144" s="8" t="str">
        <x:f>IF(COUNTA(A144:E144)=0,"",IF(Configuracion!$B$7&lt;&gt;"OK","Revisar ajustes",IF(OR(A144="",NOT(ISNUMBER(B144)),NOT(ISNUMBER(C144)),AND(D144&lt;&gt;"Pendiente",D144&lt;&gt;"Aprobada",D144&lt;&gt;"Cancelada")),"Revisar datos",IF(OR(B144&lt;&gt;INT(B144),C144&lt;&gt;INT(C144),B144&gt;C144,B144&lt;DATE(Configuracion!$B$4,1,1),C144&gt;DATE(Configuracion!$B$4,12,31)),"Revisar fechas",IF(COUNTIF(Resumen!$A$9:$A$38,A144)&lt;&gt;1,"Revisar ID empleado","OK")))))</x:f>
      </x:c>
      <x:c r="H144" s="10" t="str">
        <x:f>IF(G144&lt;&gt;"OK","",SUMIFS(Configuracion!$C$10:$C$375,Configuracion!$A$10:$A$375,"&gt;="&amp;B144,Configuracion!$A$10:$A$375,"&lt;="&amp;C144))</x:f>
      </x:c>
      <x:c r="I144" s="8" t="str">
        <x:f>IF(G144&lt;&gt;"OK","",IF(D144="Cancelada","No aplica",IF(COUNTIFS($A$5:$A$204,A144,$B$5:$B$204,"&lt;="&amp;C144,$C$5:$C$204,"&gt;="&amp;B144,$D$5:$D$204,"&lt;&gt;Cancelada",$G$5:$G$204,"OK")&gt;1,"Solape: revisar","Sin solape")))</x:f>
      </x:c>
    </x:row>
    <x:row r="145" ht="25" customHeight="1">
      <x:c r="A145" s="7"/>
      <x:c r="B145" s="11"/>
      <x:c r="C145" s="11"/>
      <x:c r="D145" s="7"/>
      <x:c r="E145" s="7"/>
      <x:c r="F145" s="2"/>
      <x:c r="G145" s="8" t="str">
        <x:f>IF(COUNTA(A145:E145)=0,"",IF(Configuracion!$B$7&lt;&gt;"OK","Revisar ajustes",IF(OR(A145="",NOT(ISNUMBER(B145)),NOT(ISNUMBER(C145)),AND(D145&lt;&gt;"Pendiente",D145&lt;&gt;"Aprobada",D145&lt;&gt;"Cancelada")),"Revisar datos",IF(OR(B145&lt;&gt;INT(B145),C145&lt;&gt;INT(C145),B145&gt;C145,B145&lt;DATE(Configuracion!$B$4,1,1),C145&gt;DATE(Configuracion!$B$4,12,31)),"Revisar fechas",IF(COUNTIF(Resumen!$A$9:$A$38,A145)&lt;&gt;1,"Revisar ID empleado","OK")))))</x:f>
      </x:c>
      <x:c r="H145" s="10" t="str">
        <x:f>IF(G145&lt;&gt;"OK","",SUMIFS(Configuracion!$C$10:$C$375,Configuracion!$A$10:$A$375,"&gt;="&amp;B145,Configuracion!$A$10:$A$375,"&lt;="&amp;C145))</x:f>
      </x:c>
      <x:c r="I145" s="8" t="str">
        <x:f>IF(G145&lt;&gt;"OK","",IF(D145="Cancelada","No aplica",IF(COUNTIFS($A$5:$A$204,A145,$B$5:$B$204,"&lt;="&amp;C145,$C$5:$C$204,"&gt;="&amp;B145,$D$5:$D$204,"&lt;&gt;Cancelada",$G$5:$G$204,"OK")&gt;1,"Solape: revisar","Sin solape")))</x:f>
      </x:c>
    </x:row>
    <x:row r="146" ht="25" customHeight="1">
      <x:c r="A146" s="7"/>
      <x:c r="B146" s="11"/>
      <x:c r="C146" s="11"/>
      <x:c r="D146" s="7"/>
      <x:c r="E146" s="7"/>
      <x:c r="F146" s="2"/>
      <x:c r="G146" s="8" t="str">
        <x:f>IF(COUNTA(A146:E146)=0,"",IF(Configuracion!$B$7&lt;&gt;"OK","Revisar ajustes",IF(OR(A146="",NOT(ISNUMBER(B146)),NOT(ISNUMBER(C146)),AND(D146&lt;&gt;"Pendiente",D146&lt;&gt;"Aprobada",D146&lt;&gt;"Cancelada")),"Revisar datos",IF(OR(B146&lt;&gt;INT(B146),C146&lt;&gt;INT(C146),B146&gt;C146,B146&lt;DATE(Configuracion!$B$4,1,1),C146&gt;DATE(Configuracion!$B$4,12,31)),"Revisar fechas",IF(COUNTIF(Resumen!$A$9:$A$38,A146)&lt;&gt;1,"Revisar ID empleado","OK")))))</x:f>
      </x:c>
      <x:c r="H146" s="10" t="str">
        <x:f>IF(G146&lt;&gt;"OK","",SUMIFS(Configuracion!$C$10:$C$375,Configuracion!$A$10:$A$375,"&gt;="&amp;B146,Configuracion!$A$10:$A$375,"&lt;="&amp;C146))</x:f>
      </x:c>
      <x:c r="I146" s="8" t="str">
        <x:f>IF(G146&lt;&gt;"OK","",IF(D146="Cancelada","No aplica",IF(COUNTIFS($A$5:$A$204,A146,$B$5:$B$204,"&lt;="&amp;C146,$C$5:$C$204,"&gt;="&amp;B146,$D$5:$D$204,"&lt;&gt;Cancelada",$G$5:$G$204,"OK")&gt;1,"Solape: revisar","Sin solape")))</x:f>
      </x:c>
    </x:row>
    <x:row r="147" ht="25" customHeight="1">
      <x:c r="A147" s="7"/>
      <x:c r="B147" s="11"/>
      <x:c r="C147" s="11"/>
      <x:c r="D147" s="7"/>
      <x:c r="E147" s="7"/>
      <x:c r="F147" s="2"/>
      <x:c r="G147" s="8" t="str">
        <x:f>IF(COUNTA(A147:E147)=0,"",IF(Configuracion!$B$7&lt;&gt;"OK","Revisar ajustes",IF(OR(A147="",NOT(ISNUMBER(B147)),NOT(ISNUMBER(C147)),AND(D147&lt;&gt;"Pendiente",D147&lt;&gt;"Aprobada",D147&lt;&gt;"Cancelada")),"Revisar datos",IF(OR(B147&lt;&gt;INT(B147),C147&lt;&gt;INT(C147),B147&gt;C147,B147&lt;DATE(Configuracion!$B$4,1,1),C147&gt;DATE(Configuracion!$B$4,12,31)),"Revisar fechas",IF(COUNTIF(Resumen!$A$9:$A$38,A147)&lt;&gt;1,"Revisar ID empleado","OK")))))</x:f>
      </x:c>
      <x:c r="H147" s="10" t="str">
        <x:f>IF(G147&lt;&gt;"OK","",SUMIFS(Configuracion!$C$10:$C$375,Configuracion!$A$10:$A$375,"&gt;="&amp;B147,Configuracion!$A$10:$A$375,"&lt;="&amp;C147))</x:f>
      </x:c>
      <x:c r="I147" s="8" t="str">
        <x:f>IF(G147&lt;&gt;"OK","",IF(D147="Cancelada","No aplica",IF(COUNTIFS($A$5:$A$204,A147,$B$5:$B$204,"&lt;="&amp;C147,$C$5:$C$204,"&gt;="&amp;B147,$D$5:$D$204,"&lt;&gt;Cancelada",$G$5:$G$204,"OK")&gt;1,"Solape: revisar","Sin solape")))</x:f>
      </x:c>
    </x:row>
    <x:row r="148" ht="25" customHeight="1">
      <x:c r="A148" s="7"/>
      <x:c r="B148" s="11"/>
      <x:c r="C148" s="11"/>
      <x:c r="D148" s="7"/>
      <x:c r="E148" s="7"/>
      <x:c r="F148" s="2"/>
      <x:c r="G148" s="8" t="str">
        <x:f>IF(COUNTA(A148:E148)=0,"",IF(Configuracion!$B$7&lt;&gt;"OK","Revisar ajustes",IF(OR(A148="",NOT(ISNUMBER(B148)),NOT(ISNUMBER(C148)),AND(D148&lt;&gt;"Pendiente",D148&lt;&gt;"Aprobada",D148&lt;&gt;"Cancelada")),"Revisar datos",IF(OR(B148&lt;&gt;INT(B148),C148&lt;&gt;INT(C148),B148&gt;C148,B148&lt;DATE(Configuracion!$B$4,1,1),C148&gt;DATE(Configuracion!$B$4,12,31)),"Revisar fechas",IF(COUNTIF(Resumen!$A$9:$A$38,A148)&lt;&gt;1,"Revisar ID empleado","OK")))))</x:f>
      </x:c>
      <x:c r="H148" s="10" t="str">
        <x:f>IF(G148&lt;&gt;"OK","",SUMIFS(Configuracion!$C$10:$C$375,Configuracion!$A$10:$A$375,"&gt;="&amp;B148,Configuracion!$A$10:$A$375,"&lt;="&amp;C148))</x:f>
      </x:c>
      <x:c r="I148" s="8" t="str">
        <x:f>IF(G148&lt;&gt;"OK","",IF(D148="Cancelada","No aplica",IF(COUNTIFS($A$5:$A$204,A148,$B$5:$B$204,"&lt;="&amp;C148,$C$5:$C$204,"&gt;="&amp;B148,$D$5:$D$204,"&lt;&gt;Cancelada",$G$5:$G$204,"OK")&gt;1,"Solape: revisar","Sin solape")))</x:f>
      </x:c>
    </x:row>
    <x:row r="149" ht="25" customHeight="1">
      <x:c r="A149" s="7"/>
      <x:c r="B149" s="11"/>
      <x:c r="C149" s="11"/>
      <x:c r="D149" s="7"/>
      <x:c r="E149" s="7"/>
      <x:c r="F149" s="2"/>
      <x:c r="G149" s="8" t="str">
        <x:f>IF(COUNTA(A149:E149)=0,"",IF(Configuracion!$B$7&lt;&gt;"OK","Revisar ajustes",IF(OR(A149="",NOT(ISNUMBER(B149)),NOT(ISNUMBER(C149)),AND(D149&lt;&gt;"Pendiente",D149&lt;&gt;"Aprobada",D149&lt;&gt;"Cancelada")),"Revisar datos",IF(OR(B149&lt;&gt;INT(B149),C149&lt;&gt;INT(C149),B149&gt;C149,B149&lt;DATE(Configuracion!$B$4,1,1),C149&gt;DATE(Configuracion!$B$4,12,31)),"Revisar fechas",IF(COUNTIF(Resumen!$A$9:$A$38,A149)&lt;&gt;1,"Revisar ID empleado","OK")))))</x:f>
      </x:c>
      <x:c r="H149" s="10" t="str">
        <x:f>IF(G149&lt;&gt;"OK","",SUMIFS(Configuracion!$C$10:$C$375,Configuracion!$A$10:$A$375,"&gt;="&amp;B149,Configuracion!$A$10:$A$375,"&lt;="&amp;C149))</x:f>
      </x:c>
      <x:c r="I149" s="8" t="str">
        <x:f>IF(G149&lt;&gt;"OK","",IF(D149="Cancelada","No aplica",IF(COUNTIFS($A$5:$A$204,A149,$B$5:$B$204,"&lt;="&amp;C149,$C$5:$C$204,"&gt;="&amp;B149,$D$5:$D$204,"&lt;&gt;Cancelada",$G$5:$G$204,"OK")&gt;1,"Solape: revisar","Sin solape")))</x:f>
      </x:c>
    </x:row>
    <x:row r="150" ht="25" customHeight="1">
      <x:c r="A150" s="7"/>
      <x:c r="B150" s="11"/>
      <x:c r="C150" s="11"/>
      <x:c r="D150" s="7"/>
      <x:c r="E150" s="7"/>
      <x:c r="F150" s="2"/>
      <x:c r="G150" s="8" t="str">
        <x:f>IF(COUNTA(A150:E150)=0,"",IF(Configuracion!$B$7&lt;&gt;"OK","Revisar ajustes",IF(OR(A150="",NOT(ISNUMBER(B150)),NOT(ISNUMBER(C150)),AND(D150&lt;&gt;"Pendiente",D150&lt;&gt;"Aprobada",D150&lt;&gt;"Cancelada")),"Revisar datos",IF(OR(B150&lt;&gt;INT(B150),C150&lt;&gt;INT(C150),B150&gt;C150,B150&lt;DATE(Configuracion!$B$4,1,1),C150&gt;DATE(Configuracion!$B$4,12,31)),"Revisar fechas",IF(COUNTIF(Resumen!$A$9:$A$38,A150)&lt;&gt;1,"Revisar ID empleado","OK")))))</x:f>
      </x:c>
      <x:c r="H150" s="10" t="str">
        <x:f>IF(G150&lt;&gt;"OK","",SUMIFS(Configuracion!$C$10:$C$375,Configuracion!$A$10:$A$375,"&gt;="&amp;B150,Configuracion!$A$10:$A$375,"&lt;="&amp;C150))</x:f>
      </x:c>
      <x:c r="I150" s="8" t="str">
        <x:f>IF(G150&lt;&gt;"OK","",IF(D150="Cancelada","No aplica",IF(COUNTIFS($A$5:$A$204,A150,$B$5:$B$204,"&lt;="&amp;C150,$C$5:$C$204,"&gt;="&amp;B150,$D$5:$D$204,"&lt;&gt;Cancelada",$G$5:$G$204,"OK")&gt;1,"Solape: revisar","Sin solape")))</x:f>
      </x:c>
    </x:row>
    <x:row r="151" ht="25" customHeight="1">
      <x:c r="A151" s="7"/>
      <x:c r="B151" s="11"/>
      <x:c r="C151" s="11"/>
      <x:c r="D151" s="7"/>
      <x:c r="E151" s="7"/>
      <x:c r="F151" s="2"/>
      <x:c r="G151" s="8" t="str">
        <x:f>IF(COUNTA(A151:E151)=0,"",IF(Configuracion!$B$7&lt;&gt;"OK","Revisar ajustes",IF(OR(A151="",NOT(ISNUMBER(B151)),NOT(ISNUMBER(C151)),AND(D151&lt;&gt;"Pendiente",D151&lt;&gt;"Aprobada",D151&lt;&gt;"Cancelada")),"Revisar datos",IF(OR(B151&lt;&gt;INT(B151),C151&lt;&gt;INT(C151),B151&gt;C151,B151&lt;DATE(Configuracion!$B$4,1,1),C151&gt;DATE(Configuracion!$B$4,12,31)),"Revisar fechas",IF(COUNTIF(Resumen!$A$9:$A$38,A151)&lt;&gt;1,"Revisar ID empleado","OK")))))</x:f>
      </x:c>
      <x:c r="H151" s="10" t="str">
        <x:f>IF(G151&lt;&gt;"OK","",SUMIFS(Configuracion!$C$10:$C$375,Configuracion!$A$10:$A$375,"&gt;="&amp;B151,Configuracion!$A$10:$A$375,"&lt;="&amp;C151))</x:f>
      </x:c>
      <x:c r="I151" s="8" t="str">
        <x:f>IF(G151&lt;&gt;"OK","",IF(D151="Cancelada","No aplica",IF(COUNTIFS($A$5:$A$204,A151,$B$5:$B$204,"&lt;="&amp;C151,$C$5:$C$204,"&gt;="&amp;B151,$D$5:$D$204,"&lt;&gt;Cancelada",$G$5:$G$204,"OK")&gt;1,"Solape: revisar","Sin solape")))</x:f>
      </x:c>
    </x:row>
    <x:row r="152" ht="25" customHeight="1">
      <x:c r="A152" s="7"/>
      <x:c r="B152" s="11"/>
      <x:c r="C152" s="11"/>
      <x:c r="D152" s="7"/>
      <x:c r="E152" s="7"/>
      <x:c r="F152" s="2"/>
      <x:c r="G152" s="8" t="str">
        <x:f>IF(COUNTA(A152:E152)=0,"",IF(Configuracion!$B$7&lt;&gt;"OK","Revisar ajustes",IF(OR(A152="",NOT(ISNUMBER(B152)),NOT(ISNUMBER(C152)),AND(D152&lt;&gt;"Pendiente",D152&lt;&gt;"Aprobada",D152&lt;&gt;"Cancelada")),"Revisar datos",IF(OR(B152&lt;&gt;INT(B152),C152&lt;&gt;INT(C152),B152&gt;C152,B152&lt;DATE(Configuracion!$B$4,1,1),C152&gt;DATE(Configuracion!$B$4,12,31)),"Revisar fechas",IF(COUNTIF(Resumen!$A$9:$A$38,A152)&lt;&gt;1,"Revisar ID empleado","OK")))))</x:f>
      </x:c>
      <x:c r="H152" s="10" t="str">
        <x:f>IF(G152&lt;&gt;"OK","",SUMIFS(Configuracion!$C$10:$C$375,Configuracion!$A$10:$A$375,"&gt;="&amp;B152,Configuracion!$A$10:$A$375,"&lt;="&amp;C152))</x:f>
      </x:c>
      <x:c r="I152" s="8" t="str">
        <x:f>IF(G152&lt;&gt;"OK","",IF(D152="Cancelada","No aplica",IF(COUNTIFS($A$5:$A$204,A152,$B$5:$B$204,"&lt;="&amp;C152,$C$5:$C$204,"&gt;="&amp;B152,$D$5:$D$204,"&lt;&gt;Cancelada",$G$5:$G$204,"OK")&gt;1,"Solape: revisar","Sin solape")))</x:f>
      </x:c>
    </x:row>
    <x:row r="153" ht="25" customHeight="1">
      <x:c r="A153" s="7"/>
      <x:c r="B153" s="11"/>
      <x:c r="C153" s="11"/>
      <x:c r="D153" s="7"/>
      <x:c r="E153" s="7"/>
      <x:c r="F153" s="2"/>
      <x:c r="G153" s="8" t="str">
        <x:f>IF(COUNTA(A153:E153)=0,"",IF(Configuracion!$B$7&lt;&gt;"OK","Revisar ajustes",IF(OR(A153="",NOT(ISNUMBER(B153)),NOT(ISNUMBER(C153)),AND(D153&lt;&gt;"Pendiente",D153&lt;&gt;"Aprobada",D153&lt;&gt;"Cancelada")),"Revisar datos",IF(OR(B153&lt;&gt;INT(B153),C153&lt;&gt;INT(C153),B153&gt;C153,B153&lt;DATE(Configuracion!$B$4,1,1),C153&gt;DATE(Configuracion!$B$4,12,31)),"Revisar fechas",IF(COUNTIF(Resumen!$A$9:$A$38,A153)&lt;&gt;1,"Revisar ID empleado","OK")))))</x:f>
      </x:c>
      <x:c r="H153" s="10" t="str">
        <x:f>IF(G153&lt;&gt;"OK","",SUMIFS(Configuracion!$C$10:$C$375,Configuracion!$A$10:$A$375,"&gt;="&amp;B153,Configuracion!$A$10:$A$375,"&lt;="&amp;C153))</x:f>
      </x:c>
      <x:c r="I153" s="8" t="str">
        <x:f>IF(G153&lt;&gt;"OK","",IF(D153="Cancelada","No aplica",IF(COUNTIFS($A$5:$A$204,A153,$B$5:$B$204,"&lt;="&amp;C153,$C$5:$C$204,"&gt;="&amp;B153,$D$5:$D$204,"&lt;&gt;Cancelada",$G$5:$G$204,"OK")&gt;1,"Solape: revisar","Sin solape")))</x:f>
      </x:c>
    </x:row>
    <x:row r="154" ht="25" customHeight="1">
      <x:c r="A154" s="7"/>
      <x:c r="B154" s="11"/>
      <x:c r="C154" s="11"/>
      <x:c r="D154" s="7"/>
      <x:c r="E154" s="7"/>
      <x:c r="F154" s="2"/>
      <x:c r="G154" s="8" t="str">
        <x:f>IF(COUNTA(A154:E154)=0,"",IF(Configuracion!$B$7&lt;&gt;"OK","Revisar ajustes",IF(OR(A154="",NOT(ISNUMBER(B154)),NOT(ISNUMBER(C154)),AND(D154&lt;&gt;"Pendiente",D154&lt;&gt;"Aprobada",D154&lt;&gt;"Cancelada")),"Revisar datos",IF(OR(B154&lt;&gt;INT(B154),C154&lt;&gt;INT(C154),B154&gt;C154,B154&lt;DATE(Configuracion!$B$4,1,1),C154&gt;DATE(Configuracion!$B$4,12,31)),"Revisar fechas",IF(COUNTIF(Resumen!$A$9:$A$38,A154)&lt;&gt;1,"Revisar ID empleado","OK")))))</x:f>
      </x:c>
      <x:c r="H154" s="10" t="str">
        <x:f>IF(G154&lt;&gt;"OK","",SUMIFS(Configuracion!$C$10:$C$375,Configuracion!$A$10:$A$375,"&gt;="&amp;B154,Configuracion!$A$10:$A$375,"&lt;="&amp;C154))</x:f>
      </x:c>
      <x:c r="I154" s="8" t="str">
        <x:f>IF(G154&lt;&gt;"OK","",IF(D154="Cancelada","No aplica",IF(COUNTIFS($A$5:$A$204,A154,$B$5:$B$204,"&lt;="&amp;C154,$C$5:$C$204,"&gt;="&amp;B154,$D$5:$D$204,"&lt;&gt;Cancelada",$G$5:$G$204,"OK")&gt;1,"Solape: revisar","Sin solape")))</x:f>
      </x:c>
    </x:row>
    <x:row r="155" ht="25" customHeight="1">
      <x:c r="A155" s="7"/>
      <x:c r="B155" s="11"/>
      <x:c r="C155" s="11"/>
      <x:c r="D155" s="7"/>
      <x:c r="E155" s="7"/>
      <x:c r="F155" s="2"/>
      <x:c r="G155" s="8" t="str">
        <x:f>IF(COUNTA(A155:E155)=0,"",IF(Configuracion!$B$7&lt;&gt;"OK","Revisar ajustes",IF(OR(A155="",NOT(ISNUMBER(B155)),NOT(ISNUMBER(C155)),AND(D155&lt;&gt;"Pendiente",D155&lt;&gt;"Aprobada",D155&lt;&gt;"Cancelada")),"Revisar datos",IF(OR(B155&lt;&gt;INT(B155),C155&lt;&gt;INT(C155),B155&gt;C155,B155&lt;DATE(Configuracion!$B$4,1,1),C155&gt;DATE(Configuracion!$B$4,12,31)),"Revisar fechas",IF(COUNTIF(Resumen!$A$9:$A$38,A155)&lt;&gt;1,"Revisar ID empleado","OK")))))</x:f>
      </x:c>
      <x:c r="H155" s="10" t="str">
        <x:f>IF(G155&lt;&gt;"OK","",SUMIFS(Configuracion!$C$10:$C$375,Configuracion!$A$10:$A$375,"&gt;="&amp;B155,Configuracion!$A$10:$A$375,"&lt;="&amp;C155))</x:f>
      </x:c>
      <x:c r="I155" s="8" t="str">
        <x:f>IF(G155&lt;&gt;"OK","",IF(D155="Cancelada","No aplica",IF(COUNTIFS($A$5:$A$204,A155,$B$5:$B$204,"&lt;="&amp;C155,$C$5:$C$204,"&gt;="&amp;B155,$D$5:$D$204,"&lt;&gt;Cancelada",$G$5:$G$204,"OK")&gt;1,"Solape: revisar","Sin solape")))</x:f>
      </x:c>
    </x:row>
    <x:row r="156" ht="25" customHeight="1">
      <x:c r="A156" s="7"/>
      <x:c r="B156" s="11"/>
      <x:c r="C156" s="11"/>
      <x:c r="D156" s="7"/>
      <x:c r="E156" s="7"/>
      <x:c r="F156" s="2"/>
      <x:c r="G156" s="8" t="str">
        <x:f>IF(COUNTA(A156:E156)=0,"",IF(Configuracion!$B$7&lt;&gt;"OK","Revisar ajustes",IF(OR(A156="",NOT(ISNUMBER(B156)),NOT(ISNUMBER(C156)),AND(D156&lt;&gt;"Pendiente",D156&lt;&gt;"Aprobada",D156&lt;&gt;"Cancelada")),"Revisar datos",IF(OR(B156&lt;&gt;INT(B156),C156&lt;&gt;INT(C156),B156&gt;C156,B156&lt;DATE(Configuracion!$B$4,1,1),C156&gt;DATE(Configuracion!$B$4,12,31)),"Revisar fechas",IF(COUNTIF(Resumen!$A$9:$A$38,A156)&lt;&gt;1,"Revisar ID empleado","OK")))))</x:f>
      </x:c>
      <x:c r="H156" s="10" t="str">
        <x:f>IF(G156&lt;&gt;"OK","",SUMIFS(Configuracion!$C$10:$C$375,Configuracion!$A$10:$A$375,"&gt;="&amp;B156,Configuracion!$A$10:$A$375,"&lt;="&amp;C156))</x:f>
      </x:c>
      <x:c r="I156" s="8" t="str">
        <x:f>IF(G156&lt;&gt;"OK","",IF(D156="Cancelada","No aplica",IF(COUNTIFS($A$5:$A$204,A156,$B$5:$B$204,"&lt;="&amp;C156,$C$5:$C$204,"&gt;="&amp;B156,$D$5:$D$204,"&lt;&gt;Cancelada",$G$5:$G$204,"OK")&gt;1,"Solape: revisar","Sin solape")))</x:f>
      </x:c>
    </x:row>
    <x:row r="157" ht="25" customHeight="1">
      <x:c r="A157" s="7"/>
      <x:c r="B157" s="11"/>
      <x:c r="C157" s="11"/>
      <x:c r="D157" s="7"/>
      <x:c r="E157" s="7"/>
      <x:c r="F157" s="2"/>
      <x:c r="G157" s="8" t="str">
        <x:f>IF(COUNTA(A157:E157)=0,"",IF(Configuracion!$B$7&lt;&gt;"OK","Revisar ajustes",IF(OR(A157="",NOT(ISNUMBER(B157)),NOT(ISNUMBER(C157)),AND(D157&lt;&gt;"Pendiente",D157&lt;&gt;"Aprobada",D157&lt;&gt;"Cancelada")),"Revisar datos",IF(OR(B157&lt;&gt;INT(B157),C157&lt;&gt;INT(C157),B157&gt;C157,B157&lt;DATE(Configuracion!$B$4,1,1),C157&gt;DATE(Configuracion!$B$4,12,31)),"Revisar fechas",IF(COUNTIF(Resumen!$A$9:$A$38,A157)&lt;&gt;1,"Revisar ID empleado","OK")))))</x:f>
      </x:c>
      <x:c r="H157" s="10" t="str">
        <x:f>IF(G157&lt;&gt;"OK","",SUMIFS(Configuracion!$C$10:$C$375,Configuracion!$A$10:$A$375,"&gt;="&amp;B157,Configuracion!$A$10:$A$375,"&lt;="&amp;C157))</x:f>
      </x:c>
      <x:c r="I157" s="8" t="str">
        <x:f>IF(G157&lt;&gt;"OK","",IF(D157="Cancelada","No aplica",IF(COUNTIFS($A$5:$A$204,A157,$B$5:$B$204,"&lt;="&amp;C157,$C$5:$C$204,"&gt;="&amp;B157,$D$5:$D$204,"&lt;&gt;Cancelada",$G$5:$G$204,"OK")&gt;1,"Solape: revisar","Sin solape")))</x:f>
      </x:c>
    </x:row>
    <x:row r="158" ht="25" customHeight="1">
      <x:c r="A158" s="7"/>
      <x:c r="B158" s="11"/>
      <x:c r="C158" s="11"/>
      <x:c r="D158" s="7"/>
      <x:c r="E158" s="7"/>
      <x:c r="F158" s="2"/>
      <x:c r="G158" s="8" t="str">
        <x:f>IF(COUNTA(A158:E158)=0,"",IF(Configuracion!$B$7&lt;&gt;"OK","Revisar ajustes",IF(OR(A158="",NOT(ISNUMBER(B158)),NOT(ISNUMBER(C158)),AND(D158&lt;&gt;"Pendiente",D158&lt;&gt;"Aprobada",D158&lt;&gt;"Cancelada")),"Revisar datos",IF(OR(B158&lt;&gt;INT(B158),C158&lt;&gt;INT(C158),B158&gt;C158,B158&lt;DATE(Configuracion!$B$4,1,1),C158&gt;DATE(Configuracion!$B$4,12,31)),"Revisar fechas",IF(COUNTIF(Resumen!$A$9:$A$38,A158)&lt;&gt;1,"Revisar ID empleado","OK")))))</x:f>
      </x:c>
      <x:c r="H158" s="10" t="str">
        <x:f>IF(G158&lt;&gt;"OK","",SUMIFS(Configuracion!$C$10:$C$375,Configuracion!$A$10:$A$375,"&gt;="&amp;B158,Configuracion!$A$10:$A$375,"&lt;="&amp;C158))</x:f>
      </x:c>
      <x:c r="I158" s="8" t="str">
        <x:f>IF(G158&lt;&gt;"OK","",IF(D158="Cancelada","No aplica",IF(COUNTIFS($A$5:$A$204,A158,$B$5:$B$204,"&lt;="&amp;C158,$C$5:$C$204,"&gt;="&amp;B158,$D$5:$D$204,"&lt;&gt;Cancelada",$G$5:$G$204,"OK")&gt;1,"Solape: revisar","Sin solape")))</x:f>
      </x:c>
    </x:row>
    <x:row r="159" ht="25" customHeight="1">
      <x:c r="A159" s="7"/>
      <x:c r="B159" s="11"/>
      <x:c r="C159" s="11"/>
      <x:c r="D159" s="7"/>
      <x:c r="E159" s="7"/>
      <x:c r="F159" s="2"/>
      <x:c r="G159" s="8" t="str">
        <x:f>IF(COUNTA(A159:E159)=0,"",IF(Configuracion!$B$7&lt;&gt;"OK","Revisar ajustes",IF(OR(A159="",NOT(ISNUMBER(B159)),NOT(ISNUMBER(C159)),AND(D159&lt;&gt;"Pendiente",D159&lt;&gt;"Aprobada",D159&lt;&gt;"Cancelada")),"Revisar datos",IF(OR(B159&lt;&gt;INT(B159),C159&lt;&gt;INT(C159),B159&gt;C159,B159&lt;DATE(Configuracion!$B$4,1,1),C159&gt;DATE(Configuracion!$B$4,12,31)),"Revisar fechas",IF(COUNTIF(Resumen!$A$9:$A$38,A159)&lt;&gt;1,"Revisar ID empleado","OK")))))</x:f>
      </x:c>
      <x:c r="H159" s="10" t="str">
        <x:f>IF(G159&lt;&gt;"OK","",SUMIFS(Configuracion!$C$10:$C$375,Configuracion!$A$10:$A$375,"&gt;="&amp;B159,Configuracion!$A$10:$A$375,"&lt;="&amp;C159))</x:f>
      </x:c>
      <x:c r="I159" s="8" t="str">
        <x:f>IF(G159&lt;&gt;"OK","",IF(D159="Cancelada","No aplica",IF(COUNTIFS($A$5:$A$204,A159,$B$5:$B$204,"&lt;="&amp;C159,$C$5:$C$204,"&gt;="&amp;B159,$D$5:$D$204,"&lt;&gt;Cancelada",$G$5:$G$204,"OK")&gt;1,"Solape: revisar","Sin solape")))</x:f>
      </x:c>
    </x:row>
    <x:row r="160" ht="25" customHeight="1">
      <x:c r="A160" s="7"/>
      <x:c r="B160" s="11"/>
      <x:c r="C160" s="11"/>
      <x:c r="D160" s="7"/>
      <x:c r="E160" s="7"/>
      <x:c r="F160" s="2"/>
      <x:c r="G160" s="8" t="str">
        <x:f>IF(COUNTA(A160:E160)=0,"",IF(Configuracion!$B$7&lt;&gt;"OK","Revisar ajustes",IF(OR(A160="",NOT(ISNUMBER(B160)),NOT(ISNUMBER(C160)),AND(D160&lt;&gt;"Pendiente",D160&lt;&gt;"Aprobada",D160&lt;&gt;"Cancelada")),"Revisar datos",IF(OR(B160&lt;&gt;INT(B160),C160&lt;&gt;INT(C160),B160&gt;C160,B160&lt;DATE(Configuracion!$B$4,1,1),C160&gt;DATE(Configuracion!$B$4,12,31)),"Revisar fechas",IF(COUNTIF(Resumen!$A$9:$A$38,A160)&lt;&gt;1,"Revisar ID empleado","OK")))))</x:f>
      </x:c>
      <x:c r="H160" s="10" t="str">
        <x:f>IF(G160&lt;&gt;"OK","",SUMIFS(Configuracion!$C$10:$C$375,Configuracion!$A$10:$A$375,"&gt;="&amp;B160,Configuracion!$A$10:$A$375,"&lt;="&amp;C160))</x:f>
      </x:c>
      <x:c r="I160" s="8" t="str">
        <x:f>IF(G160&lt;&gt;"OK","",IF(D160="Cancelada","No aplica",IF(COUNTIFS($A$5:$A$204,A160,$B$5:$B$204,"&lt;="&amp;C160,$C$5:$C$204,"&gt;="&amp;B160,$D$5:$D$204,"&lt;&gt;Cancelada",$G$5:$G$204,"OK")&gt;1,"Solape: revisar","Sin solape")))</x:f>
      </x:c>
    </x:row>
    <x:row r="161" ht="25" customHeight="1">
      <x:c r="A161" s="7"/>
      <x:c r="B161" s="11"/>
      <x:c r="C161" s="11"/>
      <x:c r="D161" s="7"/>
      <x:c r="E161" s="7"/>
      <x:c r="F161" s="2"/>
      <x:c r="G161" s="8" t="str">
        <x:f>IF(COUNTA(A161:E161)=0,"",IF(Configuracion!$B$7&lt;&gt;"OK","Revisar ajustes",IF(OR(A161="",NOT(ISNUMBER(B161)),NOT(ISNUMBER(C161)),AND(D161&lt;&gt;"Pendiente",D161&lt;&gt;"Aprobada",D161&lt;&gt;"Cancelada")),"Revisar datos",IF(OR(B161&lt;&gt;INT(B161),C161&lt;&gt;INT(C161),B161&gt;C161,B161&lt;DATE(Configuracion!$B$4,1,1),C161&gt;DATE(Configuracion!$B$4,12,31)),"Revisar fechas",IF(COUNTIF(Resumen!$A$9:$A$38,A161)&lt;&gt;1,"Revisar ID empleado","OK")))))</x:f>
      </x:c>
      <x:c r="H161" s="10" t="str">
        <x:f>IF(G161&lt;&gt;"OK","",SUMIFS(Configuracion!$C$10:$C$375,Configuracion!$A$10:$A$375,"&gt;="&amp;B161,Configuracion!$A$10:$A$375,"&lt;="&amp;C161))</x:f>
      </x:c>
      <x:c r="I161" s="8" t="str">
        <x:f>IF(G161&lt;&gt;"OK","",IF(D161="Cancelada","No aplica",IF(COUNTIFS($A$5:$A$204,A161,$B$5:$B$204,"&lt;="&amp;C161,$C$5:$C$204,"&gt;="&amp;B161,$D$5:$D$204,"&lt;&gt;Cancelada",$G$5:$G$204,"OK")&gt;1,"Solape: revisar","Sin solape")))</x:f>
      </x:c>
    </x:row>
    <x:row r="162" ht="25" customHeight="1">
      <x:c r="A162" s="7"/>
      <x:c r="B162" s="11"/>
      <x:c r="C162" s="11"/>
      <x:c r="D162" s="7"/>
      <x:c r="E162" s="7"/>
      <x:c r="F162" s="2"/>
      <x:c r="G162" s="8" t="str">
        <x:f>IF(COUNTA(A162:E162)=0,"",IF(Configuracion!$B$7&lt;&gt;"OK","Revisar ajustes",IF(OR(A162="",NOT(ISNUMBER(B162)),NOT(ISNUMBER(C162)),AND(D162&lt;&gt;"Pendiente",D162&lt;&gt;"Aprobada",D162&lt;&gt;"Cancelada")),"Revisar datos",IF(OR(B162&lt;&gt;INT(B162),C162&lt;&gt;INT(C162),B162&gt;C162,B162&lt;DATE(Configuracion!$B$4,1,1),C162&gt;DATE(Configuracion!$B$4,12,31)),"Revisar fechas",IF(COUNTIF(Resumen!$A$9:$A$38,A162)&lt;&gt;1,"Revisar ID empleado","OK")))))</x:f>
      </x:c>
      <x:c r="H162" s="10" t="str">
        <x:f>IF(G162&lt;&gt;"OK","",SUMIFS(Configuracion!$C$10:$C$375,Configuracion!$A$10:$A$375,"&gt;="&amp;B162,Configuracion!$A$10:$A$375,"&lt;="&amp;C162))</x:f>
      </x:c>
      <x:c r="I162" s="8" t="str">
        <x:f>IF(G162&lt;&gt;"OK","",IF(D162="Cancelada","No aplica",IF(COUNTIFS($A$5:$A$204,A162,$B$5:$B$204,"&lt;="&amp;C162,$C$5:$C$204,"&gt;="&amp;B162,$D$5:$D$204,"&lt;&gt;Cancelada",$G$5:$G$204,"OK")&gt;1,"Solape: revisar","Sin solape")))</x:f>
      </x:c>
    </x:row>
    <x:row r="163" ht="25" customHeight="1">
      <x:c r="A163" s="7"/>
      <x:c r="B163" s="11"/>
      <x:c r="C163" s="11"/>
      <x:c r="D163" s="7"/>
      <x:c r="E163" s="7"/>
      <x:c r="F163" s="2"/>
      <x:c r="G163" s="8" t="str">
        <x:f>IF(COUNTA(A163:E163)=0,"",IF(Configuracion!$B$7&lt;&gt;"OK","Revisar ajustes",IF(OR(A163="",NOT(ISNUMBER(B163)),NOT(ISNUMBER(C163)),AND(D163&lt;&gt;"Pendiente",D163&lt;&gt;"Aprobada",D163&lt;&gt;"Cancelada")),"Revisar datos",IF(OR(B163&lt;&gt;INT(B163),C163&lt;&gt;INT(C163),B163&gt;C163,B163&lt;DATE(Configuracion!$B$4,1,1),C163&gt;DATE(Configuracion!$B$4,12,31)),"Revisar fechas",IF(COUNTIF(Resumen!$A$9:$A$38,A163)&lt;&gt;1,"Revisar ID empleado","OK")))))</x:f>
      </x:c>
      <x:c r="H163" s="10" t="str">
        <x:f>IF(G163&lt;&gt;"OK","",SUMIFS(Configuracion!$C$10:$C$375,Configuracion!$A$10:$A$375,"&gt;="&amp;B163,Configuracion!$A$10:$A$375,"&lt;="&amp;C163))</x:f>
      </x:c>
      <x:c r="I163" s="8" t="str">
        <x:f>IF(G163&lt;&gt;"OK","",IF(D163="Cancelada","No aplica",IF(COUNTIFS($A$5:$A$204,A163,$B$5:$B$204,"&lt;="&amp;C163,$C$5:$C$204,"&gt;="&amp;B163,$D$5:$D$204,"&lt;&gt;Cancelada",$G$5:$G$204,"OK")&gt;1,"Solape: revisar","Sin solape")))</x:f>
      </x:c>
    </x:row>
    <x:row r="164" ht="25" customHeight="1">
      <x:c r="A164" s="7"/>
      <x:c r="B164" s="11"/>
      <x:c r="C164" s="11"/>
      <x:c r="D164" s="7"/>
      <x:c r="E164" s="7"/>
      <x:c r="F164" s="2"/>
      <x:c r="G164" s="8" t="str">
        <x:f>IF(COUNTA(A164:E164)=0,"",IF(Configuracion!$B$7&lt;&gt;"OK","Revisar ajustes",IF(OR(A164="",NOT(ISNUMBER(B164)),NOT(ISNUMBER(C164)),AND(D164&lt;&gt;"Pendiente",D164&lt;&gt;"Aprobada",D164&lt;&gt;"Cancelada")),"Revisar datos",IF(OR(B164&lt;&gt;INT(B164),C164&lt;&gt;INT(C164),B164&gt;C164,B164&lt;DATE(Configuracion!$B$4,1,1),C164&gt;DATE(Configuracion!$B$4,12,31)),"Revisar fechas",IF(COUNTIF(Resumen!$A$9:$A$38,A164)&lt;&gt;1,"Revisar ID empleado","OK")))))</x:f>
      </x:c>
      <x:c r="H164" s="10" t="str">
        <x:f>IF(G164&lt;&gt;"OK","",SUMIFS(Configuracion!$C$10:$C$375,Configuracion!$A$10:$A$375,"&gt;="&amp;B164,Configuracion!$A$10:$A$375,"&lt;="&amp;C164))</x:f>
      </x:c>
      <x:c r="I164" s="8" t="str">
        <x:f>IF(G164&lt;&gt;"OK","",IF(D164="Cancelada","No aplica",IF(COUNTIFS($A$5:$A$204,A164,$B$5:$B$204,"&lt;="&amp;C164,$C$5:$C$204,"&gt;="&amp;B164,$D$5:$D$204,"&lt;&gt;Cancelada",$G$5:$G$204,"OK")&gt;1,"Solape: revisar","Sin solape")))</x:f>
      </x:c>
    </x:row>
    <x:row r="165" ht="25" customHeight="1">
      <x:c r="A165" s="7"/>
      <x:c r="B165" s="11"/>
      <x:c r="C165" s="11"/>
      <x:c r="D165" s="7"/>
      <x:c r="E165" s="7"/>
      <x:c r="F165" s="2"/>
      <x:c r="G165" s="8" t="str">
        <x:f>IF(COUNTA(A165:E165)=0,"",IF(Configuracion!$B$7&lt;&gt;"OK","Revisar ajustes",IF(OR(A165="",NOT(ISNUMBER(B165)),NOT(ISNUMBER(C165)),AND(D165&lt;&gt;"Pendiente",D165&lt;&gt;"Aprobada",D165&lt;&gt;"Cancelada")),"Revisar datos",IF(OR(B165&lt;&gt;INT(B165),C165&lt;&gt;INT(C165),B165&gt;C165,B165&lt;DATE(Configuracion!$B$4,1,1),C165&gt;DATE(Configuracion!$B$4,12,31)),"Revisar fechas",IF(COUNTIF(Resumen!$A$9:$A$38,A165)&lt;&gt;1,"Revisar ID empleado","OK")))))</x:f>
      </x:c>
      <x:c r="H165" s="10" t="str">
        <x:f>IF(G165&lt;&gt;"OK","",SUMIFS(Configuracion!$C$10:$C$375,Configuracion!$A$10:$A$375,"&gt;="&amp;B165,Configuracion!$A$10:$A$375,"&lt;="&amp;C165))</x:f>
      </x:c>
      <x:c r="I165" s="8" t="str">
        <x:f>IF(G165&lt;&gt;"OK","",IF(D165="Cancelada","No aplica",IF(COUNTIFS($A$5:$A$204,A165,$B$5:$B$204,"&lt;="&amp;C165,$C$5:$C$204,"&gt;="&amp;B165,$D$5:$D$204,"&lt;&gt;Cancelada",$G$5:$G$204,"OK")&gt;1,"Solape: revisar","Sin solape")))</x:f>
      </x:c>
    </x:row>
    <x:row r="166" ht="25" customHeight="1">
      <x:c r="A166" s="7"/>
      <x:c r="B166" s="11"/>
      <x:c r="C166" s="11"/>
      <x:c r="D166" s="7"/>
      <x:c r="E166" s="7"/>
      <x:c r="F166" s="2"/>
      <x:c r="G166" s="8" t="str">
        <x:f>IF(COUNTA(A166:E166)=0,"",IF(Configuracion!$B$7&lt;&gt;"OK","Revisar ajustes",IF(OR(A166="",NOT(ISNUMBER(B166)),NOT(ISNUMBER(C166)),AND(D166&lt;&gt;"Pendiente",D166&lt;&gt;"Aprobada",D166&lt;&gt;"Cancelada")),"Revisar datos",IF(OR(B166&lt;&gt;INT(B166),C166&lt;&gt;INT(C166),B166&gt;C166,B166&lt;DATE(Configuracion!$B$4,1,1),C166&gt;DATE(Configuracion!$B$4,12,31)),"Revisar fechas",IF(COUNTIF(Resumen!$A$9:$A$38,A166)&lt;&gt;1,"Revisar ID empleado","OK")))))</x:f>
      </x:c>
      <x:c r="H166" s="10" t="str">
        <x:f>IF(G166&lt;&gt;"OK","",SUMIFS(Configuracion!$C$10:$C$375,Configuracion!$A$10:$A$375,"&gt;="&amp;B166,Configuracion!$A$10:$A$375,"&lt;="&amp;C166))</x:f>
      </x:c>
      <x:c r="I166" s="8" t="str">
        <x:f>IF(G166&lt;&gt;"OK","",IF(D166="Cancelada","No aplica",IF(COUNTIFS($A$5:$A$204,A166,$B$5:$B$204,"&lt;="&amp;C166,$C$5:$C$204,"&gt;="&amp;B166,$D$5:$D$204,"&lt;&gt;Cancelada",$G$5:$G$204,"OK")&gt;1,"Solape: revisar","Sin solape")))</x:f>
      </x:c>
    </x:row>
    <x:row r="167" ht="25" customHeight="1">
      <x:c r="A167" s="7"/>
      <x:c r="B167" s="11"/>
      <x:c r="C167" s="11"/>
      <x:c r="D167" s="7"/>
      <x:c r="E167" s="7"/>
      <x:c r="F167" s="2"/>
      <x:c r="G167" s="8" t="str">
        <x:f>IF(COUNTA(A167:E167)=0,"",IF(Configuracion!$B$7&lt;&gt;"OK","Revisar ajustes",IF(OR(A167="",NOT(ISNUMBER(B167)),NOT(ISNUMBER(C167)),AND(D167&lt;&gt;"Pendiente",D167&lt;&gt;"Aprobada",D167&lt;&gt;"Cancelada")),"Revisar datos",IF(OR(B167&lt;&gt;INT(B167),C167&lt;&gt;INT(C167),B167&gt;C167,B167&lt;DATE(Configuracion!$B$4,1,1),C167&gt;DATE(Configuracion!$B$4,12,31)),"Revisar fechas",IF(COUNTIF(Resumen!$A$9:$A$38,A167)&lt;&gt;1,"Revisar ID empleado","OK")))))</x:f>
      </x:c>
      <x:c r="H167" s="10" t="str">
        <x:f>IF(G167&lt;&gt;"OK","",SUMIFS(Configuracion!$C$10:$C$375,Configuracion!$A$10:$A$375,"&gt;="&amp;B167,Configuracion!$A$10:$A$375,"&lt;="&amp;C167))</x:f>
      </x:c>
      <x:c r="I167" s="8" t="str">
        <x:f>IF(G167&lt;&gt;"OK","",IF(D167="Cancelada","No aplica",IF(COUNTIFS($A$5:$A$204,A167,$B$5:$B$204,"&lt;="&amp;C167,$C$5:$C$204,"&gt;="&amp;B167,$D$5:$D$204,"&lt;&gt;Cancelada",$G$5:$G$204,"OK")&gt;1,"Solape: revisar","Sin solape")))</x:f>
      </x:c>
    </x:row>
    <x:row r="168" ht="25" customHeight="1">
      <x:c r="A168" s="7"/>
      <x:c r="B168" s="11"/>
      <x:c r="C168" s="11"/>
      <x:c r="D168" s="7"/>
      <x:c r="E168" s="7"/>
      <x:c r="F168" s="2"/>
      <x:c r="G168" s="8" t="str">
        <x:f>IF(COUNTA(A168:E168)=0,"",IF(Configuracion!$B$7&lt;&gt;"OK","Revisar ajustes",IF(OR(A168="",NOT(ISNUMBER(B168)),NOT(ISNUMBER(C168)),AND(D168&lt;&gt;"Pendiente",D168&lt;&gt;"Aprobada",D168&lt;&gt;"Cancelada")),"Revisar datos",IF(OR(B168&lt;&gt;INT(B168),C168&lt;&gt;INT(C168),B168&gt;C168,B168&lt;DATE(Configuracion!$B$4,1,1),C168&gt;DATE(Configuracion!$B$4,12,31)),"Revisar fechas",IF(COUNTIF(Resumen!$A$9:$A$38,A168)&lt;&gt;1,"Revisar ID empleado","OK")))))</x:f>
      </x:c>
      <x:c r="H168" s="10" t="str">
        <x:f>IF(G168&lt;&gt;"OK","",SUMIFS(Configuracion!$C$10:$C$375,Configuracion!$A$10:$A$375,"&gt;="&amp;B168,Configuracion!$A$10:$A$375,"&lt;="&amp;C168))</x:f>
      </x:c>
      <x:c r="I168" s="8" t="str">
        <x:f>IF(G168&lt;&gt;"OK","",IF(D168="Cancelada","No aplica",IF(COUNTIFS($A$5:$A$204,A168,$B$5:$B$204,"&lt;="&amp;C168,$C$5:$C$204,"&gt;="&amp;B168,$D$5:$D$204,"&lt;&gt;Cancelada",$G$5:$G$204,"OK")&gt;1,"Solape: revisar","Sin solape")))</x:f>
      </x:c>
    </x:row>
    <x:row r="169" ht="25" customHeight="1">
      <x:c r="A169" s="7"/>
      <x:c r="B169" s="11"/>
      <x:c r="C169" s="11"/>
      <x:c r="D169" s="7"/>
      <x:c r="E169" s="7"/>
      <x:c r="F169" s="2"/>
      <x:c r="G169" s="8" t="str">
        <x:f>IF(COUNTA(A169:E169)=0,"",IF(Configuracion!$B$7&lt;&gt;"OK","Revisar ajustes",IF(OR(A169="",NOT(ISNUMBER(B169)),NOT(ISNUMBER(C169)),AND(D169&lt;&gt;"Pendiente",D169&lt;&gt;"Aprobada",D169&lt;&gt;"Cancelada")),"Revisar datos",IF(OR(B169&lt;&gt;INT(B169),C169&lt;&gt;INT(C169),B169&gt;C169,B169&lt;DATE(Configuracion!$B$4,1,1),C169&gt;DATE(Configuracion!$B$4,12,31)),"Revisar fechas",IF(COUNTIF(Resumen!$A$9:$A$38,A169)&lt;&gt;1,"Revisar ID empleado","OK")))))</x:f>
      </x:c>
      <x:c r="H169" s="10" t="str">
        <x:f>IF(G169&lt;&gt;"OK","",SUMIFS(Configuracion!$C$10:$C$375,Configuracion!$A$10:$A$375,"&gt;="&amp;B169,Configuracion!$A$10:$A$375,"&lt;="&amp;C169))</x:f>
      </x:c>
      <x:c r="I169" s="8" t="str">
        <x:f>IF(G169&lt;&gt;"OK","",IF(D169="Cancelada","No aplica",IF(COUNTIFS($A$5:$A$204,A169,$B$5:$B$204,"&lt;="&amp;C169,$C$5:$C$204,"&gt;="&amp;B169,$D$5:$D$204,"&lt;&gt;Cancelada",$G$5:$G$204,"OK")&gt;1,"Solape: revisar","Sin solape")))</x:f>
      </x:c>
    </x:row>
    <x:row r="170" ht="25" customHeight="1">
      <x:c r="A170" s="7"/>
      <x:c r="B170" s="11"/>
      <x:c r="C170" s="11"/>
      <x:c r="D170" s="7"/>
      <x:c r="E170" s="7"/>
      <x:c r="F170" s="2"/>
      <x:c r="G170" s="8" t="str">
        <x:f>IF(COUNTA(A170:E170)=0,"",IF(Configuracion!$B$7&lt;&gt;"OK","Revisar ajustes",IF(OR(A170="",NOT(ISNUMBER(B170)),NOT(ISNUMBER(C170)),AND(D170&lt;&gt;"Pendiente",D170&lt;&gt;"Aprobada",D170&lt;&gt;"Cancelada")),"Revisar datos",IF(OR(B170&lt;&gt;INT(B170),C170&lt;&gt;INT(C170),B170&gt;C170,B170&lt;DATE(Configuracion!$B$4,1,1),C170&gt;DATE(Configuracion!$B$4,12,31)),"Revisar fechas",IF(COUNTIF(Resumen!$A$9:$A$38,A170)&lt;&gt;1,"Revisar ID empleado","OK")))))</x:f>
      </x:c>
      <x:c r="H170" s="10" t="str">
        <x:f>IF(G170&lt;&gt;"OK","",SUMIFS(Configuracion!$C$10:$C$375,Configuracion!$A$10:$A$375,"&gt;="&amp;B170,Configuracion!$A$10:$A$375,"&lt;="&amp;C170))</x:f>
      </x:c>
      <x:c r="I170" s="8" t="str">
        <x:f>IF(G170&lt;&gt;"OK","",IF(D170="Cancelada","No aplica",IF(COUNTIFS($A$5:$A$204,A170,$B$5:$B$204,"&lt;="&amp;C170,$C$5:$C$204,"&gt;="&amp;B170,$D$5:$D$204,"&lt;&gt;Cancelada",$G$5:$G$204,"OK")&gt;1,"Solape: revisar","Sin solape")))</x:f>
      </x:c>
    </x:row>
    <x:row r="171" ht="25" customHeight="1">
      <x:c r="A171" s="7"/>
      <x:c r="B171" s="11"/>
      <x:c r="C171" s="11"/>
      <x:c r="D171" s="7"/>
      <x:c r="E171" s="7"/>
      <x:c r="F171" s="2"/>
      <x:c r="G171" s="8" t="str">
        <x:f>IF(COUNTA(A171:E171)=0,"",IF(Configuracion!$B$7&lt;&gt;"OK","Revisar ajustes",IF(OR(A171="",NOT(ISNUMBER(B171)),NOT(ISNUMBER(C171)),AND(D171&lt;&gt;"Pendiente",D171&lt;&gt;"Aprobada",D171&lt;&gt;"Cancelada")),"Revisar datos",IF(OR(B171&lt;&gt;INT(B171),C171&lt;&gt;INT(C171),B171&gt;C171,B171&lt;DATE(Configuracion!$B$4,1,1),C171&gt;DATE(Configuracion!$B$4,12,31)),"Revisar fechas",IF(COUNTIF(Resumen!$A$9:$A$38,A171)&lt;&gt;1,"Revisar ID empleado","OK")))))</x:f>
      </x:c>
      <x:c r="H171" s="10" t="str">
        <x:f>IF(G171&lt;&gt;"OK","",SUMIFS(Configuracion!$C$10:$C$375,Configuracion!$A$10:$A$375,"&gt;="&amp;B171,Configuracion!$A$10:$A$375,"&lt;="&amp;C171))</x:f>
      </x:c>
      <x:c r="I171" s="8" t="str">
        <x:f>IF(G171&lt;&gt;"OK","",IF(D171="Cancelada","No aplica",IF(COUNTIFS($A$5:$A$204,A171,$B$5:$B$204,"&lt;="&amp;C171,$C$5:$C$204,"&gt;="&amp;B171,$D$5:$D$204,"&lt;&gt;Cancelada",$G$5:$G$204,"OK")&gt;1,"Solape: revisar","Sin solape")))</x:f>
      </x:c>
    </x:row>
    <x:row r="172" ht="25" customHeight="1">
      <x:c r="A172" s="7"/>
      <x:c r="B172" s="11"/>
      <x:c r="C172" s="11"/>
      <x:c r="D172" s="7"/>
      <x:c r="E172" s="7"/>
      <x:c r="F172" s="2"/>
      <x:c r="G172" s="8" t="str">
        <x:f>IF(COUNTA(A172:E172)=0,"",IF(Configuracion!$B$7&lt;&gt;"OK","Revisar ajustes",IF(OR(A172="",NOT(ISNUMBER(B172)),NOT(ISNUMBER(C172)),AND(D172&lt;&gt;"Pendiente",D172&lt;&gt;"Aprobada",D172&lt;&gt;"Cancelada")),"Revisar datos",IF(OR(B172&lt;&gt;INT(B172),C172&lt;&gt;INT(C172),B172&gt;C172,B172&lt;DATE(Configuracion!$B$4,1,1),C172&gt;DATE(Configuracion!$B$4,12,31)),"Revisar fechas",IF(COUNTIF(Resumen!$A$9:$A$38,A172)&lt;&gt;1,"Revisar ID empleado","OK")))))</x:f>
      </x:c>
      <x:c r="H172" s="10" t="str">
        <x:f>IF(G172&lt;&gt;"OK","",SUMIFS(Configuracion!$C$10:$C$375,Configuracion!$A$10:$A$375,"&gt;="&amp;B172,Configuracion!$A$10:$A$375,"&lt;="&amp;C172))</x:f>
      </x:c>
      <x:c r="I172" s="8" t="str">
        <x:f>IF(G172&lt;&gt;"OK","",IF(D172="Cancelada","No aplica",IF(COUNTIFS($A$5:$A$204,A172,$B$5:$B$204,"&lt;="&amp;C172,$C$5:$C$204,"&gt;="&amp;B172,$D$5:$D$204,"&lt;&gt;Cancelada",$G$5:$G$204,"OK")&gt;1,"Solape: revisar","Sin solape")))</x:f>
      </x:c>
    </x:row>
    <x:row r="173" ht="25" customHeight="1">
      <x:c r="A173" s="7"/>
      <x:c r="B173" s="11"/>
      <x:c r="C173" s="11"/>
      <x:c r="D173" s="7"/>
      <x:c r="E173" s="7"/>
      <x:c r="F173" s="2"/>
      <x:c r="G173" s="8" t="str">
        <x:f>IF(COUNTA(A173:E173)=0,"",IF(Configuracion!$B$7&lt;&gt;"OK","Revisar ajustes",IF(OR(A173="",NOT(ISNUMBER(B173)),NOT(ISNUMBER(C173)),AND(D173&lt;&gt;"Pendiente",D173&lt;&gt;"Aprobada",D173&lt;&gt;"Cancelada")),"Revisar datos",IF(OR(B173&lt;&gt;INT(B173),C173&lt;&gt;INT(C173),B173&gt;C173,B173&lt;DATE(Configuracion!$B$4,1,1),C173&gt;DATE(Configuracion!$B$4,12,31)),"Revisar fechas",IF(COUNTIF(Resumen!$A$9:$A$38,A173)&lt;&gt;1,"Revisar ID empleado","OK")))))</x:f>
      </x:c>
      <x:c r="H173" s="10" t="str">
        <x:f>IF(G173&lt;&gt;"OK","",SUMIFS(Configuracion!$C$10:$C$375,Configuracion!$A$10:$A$375,"&gt;="&amp;B173,Configuracion!$A$10:$A$375,"&lt;="&amp;C173))</x:f>
      </x:c>
      <x:c r="I173" s="8" t="str">
        <x:f>IF(G173&lt;&gt;"OK","",IF(D173="Cancelada","No aplica",IF(COUNTIFS($A$5:$A$204,A173,$B$5:$B$204,"&lt;="&amp;C173,$C$5:$C$204,"&gt;="&amp;B173,$D$5:$D$204,"&lt;&gt;Cancelada",$G$5:$G$204,"OK")&gt;1,"Solape: revisar","Sin solape")))</x:f>
      </x:c>
    </x:row>
    <x:row r="174" ht="25" customHeight="1">
      <x:c r="A174" s="7"/>
      <x:c r="B174" s="11"/>
      <x:c r="C174" s="11"/>
      <x:c r="D174" s="7"/>
      <x:c r="E174" s="7"/>
      <x:c r="F174" s="2"/>
      <x:c r="G174" s="8" t="str">
        <x:f>IF(COUNTA(A174:E174)=0,"",IF(Configuracion!$B$7&lt;&gt;"OK","Revisar ajustes",IF(OR(A174="",NOT(ISNUMBER(B174)),NOT(ISNUMBER(C174)),AND(D174&lt;&gt;"Pendiente",D174&lt;&gt;"Aprobada",D174&lt;&gt;"Cancelada")),"Revisar datos",IF(OR(B174&lt;&gt;INT(B174),C174&lt;&gt;INT(C174),B174&gt;C174,B174&lt;DATE(Configuracion!$B$4,1,1),C174&gt;DATE(Configuracion!$B$4,12,31)),"Revisar fechas",IF(COUNTIF(Resumen!$A$9:$A$38,A174)&lt;&gt;1,"Revisar ID empleado","OK")))))</x:f>
      </x:c>
      <x:c r="H174" s="10" t="str">
        <x:f>IF(G174&lt;&gt;"OK","",SUMIFS(Configuracion!$C$10:$C$375,Configuracion!$A$10:$A$375,"&gt;="&amp;B174,Configuracion!$A$10:$A$375,"&lt;="&amp;C174))</x:f>
      </x:c>
      <x:c r="I174" s="8" t="str">
        <x:f>IF(G174&lt;&gt;"OK","",IF(D174="Cancelada","No aplica",IF(COUNTIFS($A$5:$A$204,A174,$B$5:$B$204,"&lt;="&amp;C174,$C$5:$C$204,"&gt;="&amp;B174,$D$5:$D$204,"&lt;&gt;Cancelada",$G$5:$G$204,"OK")&gt;1,"Solape: revisar","Sin solape")))</x:f>
      </x:c>
    </x:row>
    <x:row r="175" ht="25" customHeight="1">
      <x:c r="A175" s="7"/>
      <x:c r="B175" s="11"/>
      <x:c r="C175" s="11"/>
      <x:c r="D175" s="7"/>
      <x:c r="E175" s="7"/>
      <x:c r="F175" s="2"/>
      <x:c r="G175" s="8" t="str">
        <x:f>IF(COUNTA(A175:E175)=0,"",IF(Configuracion!$B$7&lt;&gt;"OK","Revisar ajustes",IF(OR(A175="",NOT(ISNUMBER(B175)),NOT(ISNUMBER(C175)),AND(D175&lt;&gt;"Pendiente",D175&lt;&gt;"Aprobada",D175&lt;&gt;"Cancelada")),"Revisar datos",IF(OR(B175&lt;&gt;INT(B175),C175&lt;&gt;INT(C175),B175&gt;C175,B175&lt;DATE(Configuracion!$B$4,1,1),C175&gt;DATE(Configuracion!$B$4,12,31)),"Revisar fechas",IF(COUNTIF(Resumen!$A$9:$A$38,A175)&lt;&gt;1,"Revisar ID empleado","OK")))))</x:f>
      </x:c>
      <x:c r="H175" s="10" t="str">
        <x:f>IF(G175&lt;&gt;"OK","",SUMIFS(Configuracion!$C$10:$C$375,Configuracion!$A$10:$A$375,"&gt;="&amp;B175,Configuracion!$A$10:$A$375,"&lt;="&amp;C175))</x:f>
      </x:c>
      <x:c r="I175" s="8" t="str">
        <x:f>IF(G175&lt;&gt;"OK","",IF(D175="Cancelada","No aplica",IF(COUNTIFS($A$5:$A$204,A175,$B$5:$B$204,"&lt;="&amp;C175,$C$5:$C$204,"&gt;="&amp;B175,$D$5:$D$204,"&lt;&gt;Cancelada",$G$5:$G$204,"OK")&gt;1,"Solape: revisar","Sin solape")))</x:f>
      </x:c>
    </x:row>
    <x:row r="176" ht="25" customHeight="1">
      <x:c r="A176" s="7"/>
      <x:c r="B176" s="11"/>
      <x:c r="C176" s="11"/>
      <x:c r="D176" s="7"/>
      <x:c r="E176" s="7"/>
      <x:c r="F176" s="2"/>
      <x:c r="G176" s="8" t="str">
        <x:f>IF(COUNTA(A176:E176)=0,"",IF(Configuracion!$B$7&lt;&gt;"OK","Revisar ajustes",IF(OR(A176="",NOT(ISNUMBER(B176)),NOT(ISNUMBER(C176)),AND(D176&lt;&gt;"Pendiente",D176&lt;&gt;"Aprobada",D176&lt;&gt;"Cancelada")),"Revisar datos",IF(OR(B176&lt;&gt;INT(B176),C176&lt;&gt;INT(C176),B176&gt;C176,B176&lt;DATE(Configuracion!$B$4,1,1),C176&gt;DATE(Configuracion!$B$4,12,31)),"Revisar fechas",IF(COUNTIF(Resumen!$A$9:$A$38,A176)&lt;&gt;1,"Revisar ID empleado","OK")))))</x:f>
      </x:c>
      <x:c r="H176" s="10" t="str">
        <x:f>IF(G176&lt;&gt;"OK","",SUMIFS(Configuracion!$C$10:$C$375,Configuracion!$A$10:$A$375,"&gt;="&amp;B176,Configuracion!$A$10:$A$375,"&lt;="&amp;C176))</x:f>
      </x:c>
      <x:c r="I176" s="8" t="str">
        <x:f>IF(G176&lt;&gt;"OK","",IF(D176="Cancelada","No aplica",IF(COUNTIFS($A$5:$A$204,A176,$B$5:$B$204,"&lt;="&amp;C176,$C$5:$C$204,"&gt;="&amp;B176,$D$5:$D$204,"&lt;&gt;Cancelada",$G$5:$G$204,"OK")&gt;1,"Solape: revisar","Sin solape")))</x:f>
      </x:c>
    </x:row>
    <x:row r="177" ht="25" customHeight="1">
      <x:c r="A177" s="7"/>
      <x:c r="B177" s="11"/>
      <x:c r="C177" s="11"/>
      <x:c r="D177" s="7"/>
      <x:c r="E177" s="7"/>
      <x:c r="F177" s="2"/>
      <x:c r="G177" s="8" t="str">
        <x:f>IF(COUNTA(A177:E177)=0,"",IF(Configuracion!$B$7&lt;&gt;"OK","Revisar ajustes",IF(OR(A177="",NOT(ISNUMBER(B177)),NOT(ISNUMBER(C177)),AND(D177&lt;&gt;"Pendiente",D177&lt;&gt;"Aprobada",D177&lt;&gt;"Cancelada")),"Revisar datos",IF(OR(B177&lt;&gt;INT(B177),C177&lt;&gt;INT(C177),B177&gt;C177,B177&lt;DATE(Configuracion!$B$4,1,1),C177&gt;DATE(Configuracion!$B$4,12,31)),"Revisar fechas",IF(COUNTIF(Resumen!$A$9:$A$38,A177)&lt;&gt;1,"Revisar ID empleado","OK")))))</x:f>
      </x:c>
      <x:c r="H177" s="10" t="str">
        <x:f>IF(G177&lt;&gt;"OK","",SUMIFS(Configuracion!$C$10:$C$375,Configuracion!$A$10:$A$375,"&gt;="&amp;B177,Configuracion!$A$10:$A$375,"&lt;="&amp;C177))</x:f>
      </x:c>
      <x:c r="I177" s="8" t="str">
        <x:f>IF(G177&lt;&gt;"OK","",IF(D177="Cancelada","No aplica",IF(COUNTIFS($A$5:$A$204,A177,$B$5:$B$204,"&lt;="&amp;C177,$C$5:$C$204,"&gt;="&amp;B177,$D$5:$D$204,"&lt;&gt;Cancelada",$G$5:$G$204,"OK")&gt;1,"Solape: revisar","Sin solape")))</x:f>
      </x:c>
    </x:row>
    <x:row r="178" ht="25" customHeight="1">
      <x:c r="A178" s="7"/>
      <x:c r="B178" s="11"/>
      <x:c r="C178" s="11"/>
      <x:c r="D178" s="7"/>
      <x:c r="E178" s="7"/>
      <x:c r="F178" s="2"/>
      <x:c r="G178" s="8" t="str">
        <x:f>IF(COUNTA(A178:E178)=0,"",IF(Configuracion!$B$7&lt;&gt;"OK","Revisar ajustes",IF(OR(A178="",NOT(ISNUMBER(B178)),NOT(ISNUMBER(C178)),AND(D178&lt;&gt;"Pendiente",D178&lt;&gt;"Aprobada",D178&lt;&gt;"Cancelada")),"Revisar datos",IF(OR(B178&lt;&gt;INT(B178),C178&lt;&gt;INT(C178),B178&gt;C178,B178&lt;DATE(Configuracion!$B$4,1,1),C178&gt;DATE(Configuracion!$B$4,12,31)),"Revisar fechas",IF(COUNTIF(Resumen!$A$9:$A$38,A178)&lt;&gt;1,"Revisar ID empleado","OK")))))</x:f>
      </x:c>
      <x:c r="H178" s="10" t="str">
        <x:f>IF(G178&lt;&gt;"OK","",SUMIFS(Configuracion!$C$10:$C$375,Configuracion!$A$10:$A$375,"&gt;="&amp;B178,Configuracion!$A$10:$A$375,"&lt;="&amp;C178))</x:f>
      </x:c>
      <x:c r="I178" s="8" t="str">
        <x:f>IF(G178&lt;&gt;"OK","",IF(D178="Cancelada","No aplica",IF(COUNTIFS($A$5:$A$204,A178,$B$5:$B$204,"&lt;="&amp;C178,$C$5:$C$204,"&gt;="&amp;B178,$D$5:$D$204,"&lt;&gt;Cancelada",$G$5:$G$204,"OK")&gt;1,"Solape: revisar","Sin solape")))</x:f>
      </x:c>
    </x:row>
    <x:row r="179" ht="25" customHeight="1">
      <x:c r="A179" s="7"/>
      <x:c r="B179" s="11"/>
      <x:c r="C179" s="11"/>
      <x:c r="D179" s="7"/>
      <x:c r="E179" s="7"/>
      <x:c r="F179" s="2"/>
      <x:c r="G179" s="8" t="str">
        <x:f>IF(COUNTA(A179:E179)=0,"",IF(Configuracion!$B$7&lt;&gt;"OK","Revisar ajustes",IF(OR(A179="",NOT(ISNUMBER(B179)),NOT(ISNUMBER(C179)),AND(D179&lt;&gt;"Pendiente",D179&lt;&gt;"Aprobada",D179&lt;&gt;"Cancelada")),"Revisar datos",IF(OR(B179&lt;&gt;INT(B179),C179&lt;&gt;INT(C179),B179&gt;C179,B179&lt;DATE(Configuracion!$B$4,1,1),C179&gt;DATE(Configuracion!$B$4,12,31)),"Revisar fechas",IF(COUNTIF(Resumen!$A$9:$A$38,A179)&lt;&gt;1,"Revisar ID empleado","OK")))))</x:f>
      </x:c>
      <x:c r="H179" s="10" t="str">
        <x:f>IF(G179&lt;&gt;"OK","",SUMIFS(Configuracion!$C$10:$C$375,Configuracion!$A$10:$A$375,"&gt;="&amp;B179,Configuracion!$A$10:$A$375,"&lt;="&amp;C179))</x:f>
      </x:c>
      <x:c r="I179" s="8" t="str">
        <x:f>IF(G179&lt;&gt;"OK","",IF(D179="Cancelada","No aplica",IF(COUNTIFS($A$5:$A$204,A179,$B$5:$B$204,"&lt;="&amp;C179,$C$5:$C$204,"&gt;="&amp;B179,$D$5:$D$204,"&lt;&gt;Cancelada",$G$5:$G$204,"OK")&gt;1,"Solape: revisar","Sin solape")))</x:f>
      </x:c>
    </x:row>
    <x:row r="180" ht="25" customHeight="1">
      <x:c r="A180" s="7"/>
      <x:c r="B180" s="11"/>
      <x:c r="C180" s="11"/>
      <x:c r="D180" s="7"/>
      <x:c r="E180" s="7"/>
      <x:c r="F180" s="2"/>
      <x:c r="G180" s="8" t="str">
        <x:f>IF(COUNTA(A180:E180)=0,"",IF(Configuracion!$B$7&lt;&gt;"OK","Revisar ajustes",IF(OR(A180="",NOT(ISNUMBER(B180)),NOT(ISNUMBER(C180)),AND(D180&lt;&gt;"Pendiente",D180&lt;&gt;"Aprobada",D180&lt;&gt;"Cancelada")),"Revisar datos",IF(OR(B180&lt;&gt;INT(B180),C180&lt;&gt;INT(C180),B180&gt;C180,B180&lt;DATE(Configuracion!$B$4,1,1),C180&gt;DATE(Configuracion!$B$4,12,31)),"Revisar fechas",IF(COUNTIF(Resumen!$A$9:$A$38,A180)&lt;&gt;1,"Revisar ID empleado","OK")))))</x:f>
      </x:c>
      <x:c r="H180" s="10" t="str">
        <x:f>IF(G180&lt;&gt;"OK","",SUMIFS(Configuracion!$C$10:$C$375,Configuracion!$A$10:$A$375,"&gt;="&amp;B180,Configuracion!$A$10:$A$375,"&lt;="&amp;C180))</x:f>
      </x:c>
      <x:c r="I180" s="8" t="str">
        <x:f>IF(G180&lt;&gt;"OK","",IF(D180="Cancelada","No aplica",IF(COUNTIFS($A$5:$A$204,A180,$B$5:$B$204,"&lt;="&amp;C180,$C$5:$C$204,"&gt;="&amp;B180,$D$5:$D$204,"&lt;&gt;Cancelada",$G$5:$G$204,"OK")&gt;1,"Solape: revisar","Sin solape")))</x:f>
      </x:c>
    </x:row>
    <x:row r="181" ht="25" customHeight="1">
      <x:c r="A181" s="7"/>
      <x:c r="B181" s="11"/>
      <x:c r="C181" s="11"/>
      <x:c r="D181" s="7"/>
      <x:c r="E181" s="7"/>
      <x:c r="F181" s="2"/>
      <x:c r="G181" s="8" t="str">
        <x:f>IF(COUNTA(A181:E181)=0,"",IF(Configuracion!$B$7&lt;&gt;"OK","Revisar ajustes",IF(OR(A181="",NOT(ISNUMBER(B181)),NOT(ISNUMBER(C181)),AND(D181&lt;&gt;"Pendiente",D181&lt;&gt;"Aprobada",D181&lt;&gt;"Cancelada")),"Revisar datos",IF(OR(B181&lt;&gt;INT(B181),C181&lt;&gt;INT(C181),B181&gt;C181,B181&lt;DATE(Configuracion!$B$4,1,1),C181&gt;DATE(Configuracion!$B$4,12,31)),"Revisar fechas",IF(COUNTIF(Resumen!$A$9:$A$38,A181)&lt;&gt;1,"Revisar ID empleado","OK")))))</x:f>
      </x:c>
      <x:c r="H181" s="10" t="str">
        <x:f>IF(G181&lt;&gt;"OK","",SUMIFS(Configuracion!$C$10:$C$375,Configuracion!$A$10:$A$375,"&gt;="&amp;B181,Configuracion!$A$10:$A$375,"&lt;="&amp;C181))</x:f>
      </x:c>
      <x:c r="I181" s="8" t="str">
        <x:f>IF(G181&lt;&gt;"OK","",IF(D181="Cancelada","No aplica",IF(COUNTIFS($A$5:$A$204,A181,$B$5:$B$204,"&lt;="&amp;C181,$C$5:$C$204,"&gt;="&amp;B181,$D$5:$D$204,"&lt;&gt;Cancelada",$G$5:$G$204,"OK")&gt;1,"Solape: revisar","Sin solape")))</x:f>
      </x:c>
    </x:row>
    <x:row r="182" ht="25" customHeight="1">
      <x:c r="A182" s="7"/>
      <x:c r="B182" s="11"/>
      <x:c r="C182" s="11"/>
      <x:c r="D182" s="7"/>
      <x:c r="E182" s="7"/>
      <x:c r="F182" s="2"/>
      <x:c r="G182" s="8" t="str">
        <x:f>IF(COUNTA(A182:E182)=0,"",IF(Configuracion!$B$7&lt;&gt;"OK","Revisar ajustes",IF(OR(A182="",NOT(ISNUMBER(B182)),NOT(ISNUMBER(C182)),AND(D182&lt;&gt;"Pendiente",D182&lt;&gt;"Aprobada",D182&lt;&gt;"Cancelada")),"Revisar datos",IF(OR(B182&lt;&gt;INT(B182),C182&lt;&gt;INT(C182),B182&gt;C182,B182&lt;DATE(Configuracion!$B$4,1,1),C182&gt;DATE(Configuracion!$B$4,12,31)),"Revisar fechas",IF(COUNTIF(Resumen!$A$9:$A$38,A182)&lt;&gt;1,"Revisar ID empleado","OK")))))</x:f>
      </x:c>
      <x:c r="H182" s="10" t="str">
        <x:f>IF(G182&lt;&gt;"OK","",SUMIFS(Configuracion!$C$10:$C$375,Configuracion!$A$10:$A$375,"&gt;="&amp;B182,Configuracion!$A$10:$A$375,"&lt;="&amp;C182))</x:f>
      </x:c>
      <x:c r="I182" s="8" t="str">
        <x:f>IF(G182&lt;&gt;"OK","",IF(D182="Cancelada","No aplica",IF(COUNTIFS($A$5:$A$204,A182,$B$5:$B$204,"&lt;="&amp;C182,$C$5:$C$204,"&gt;="&amp;B182,$D$5:$D$204,"&lt;&gt;Cancelada",$G$5:$G$204,"OK")&gt;1,"Solape: revisar","Sin solape")))</x:f>
      </x:c>
    </x:row>
    <x:row r="183" ht="25" customHeight="1">
      <x:c r="A183" s="7"/>
      <x:c r="B183" s="11"/>
      <x:c r="C183" s="11"/>
      <x:c r="D183" s="7"/>
      <x:c r="E183" s="7"/>
      <x:c r="F183" s="2"/>
      <x:c r="G183" s="8" t="str">
        <x:f>IF(COUNTA(A183:E183)=0,"",IF(Configuracion!$B$7&lt;&gt;"OK","Revisar ajustes",IF(OR(A183="",NOT(ISNUMBER(B183)),NOT(ISNUMBER(C183)),AND(D183&lt;&gt;"Pendiente",D183&lt;&gt;"Aprobada",D183&lt;&gt;"Cancelada")),"Revisar datos",IF(OR(B183&lt;&gt;INT(B183),C183&lt;&gt;INT(C183),B183&gt;C183,B183&lt;DATE(Configuracion!$B$4,1,1),C183&gt;DATE(Configuracion!$B$4,12,31)),"Revisar fechas",IF(COUNTIF(Resumen!$A$9:$A$38,A183)&lt;&gt;1,"Revisar ID empleado","OK")))))</x:f>
      </x:c>
      <x:c r="H183" s="10" t="str">
        <x:f>IF(G183&lt;&gt;"OK","",SUMIFS(Configuracion!$C$10:$C$375,Configuracion!$A$10:$A$375,"&gt;="&amp;B183,Configuracion!$A$10:$A$375,"&lt;="&amp;C183))</x:f>
      </x:c>
      <x:c r="I183" s="8" t="str">
        <x:f>IF(G183&lt;&gt;"OK","",IF(D183="Cancelada","No aplica",IF(COUNTIFS($A$5:$A$204,A183,$B$5:$B$204,"&lt;="&amp;C183,$C$5:$C$204,"&gt;="&amp;B183,$D$5:$D$204,"&lt;&gt;Cancelada",$G$5:$G$204,"OK")&gt;1,"Solape: revisar","Sin solape")))</x:f>
      </x:c>
    </x:row>
    <x:row r="184" ht="25" customHeight="1">
      <x:c r="A184" s="7"/>
      <x:c r="B184" s="11"/>
      <x:c r="C184" s="11"/>
      <x:c r="D184" s="7"/>
      <x:c r="E184" s="7"/>
      <x:c r="F184" s="2"/>
      <x:c r="G184" s="8" t="str">
        <x:f>IF(COUNTA(A184:E184)=0,"",IF(Configuracion!$B$7&lt;&gt;"OK","Revisar ajustes",IF(OR(A184="",NOT(ISNUMBER(B184)),NOT(ISNUMBER(C184)),AND(D184&lt;&gt;"Pendiente",D184&lt;&gt;"Aprobada",D184&lt;&gt;"Cancelada")),"Revisar datos",IF(OR(B184&lt;&gt;INT(B184),C184&lt;&gt;INT(C184),B184&gt;C184,B184&lt;DATE(Configuracion!$B$4,1,1),C184&gt;DATE(Configuracion!$B$4,12,31)),"Revisar fechas",IF(COUNTIF(Resumen!$A$9:$A$38,A184)&lt;&gt;1,"Revisar ID empleado","OK")))))</x:f>
      </x:c>
      <x:c r="H184" s="10" t="str">
        <x:f>IF(G184&lt;&gt;"OK","",SUMIFS(Configuracion!$C$10:$C$375,Configuracion!$A$10:$A$375,"&gt;="&amp;B184,Configuracion!$A$10:$A$375,"&lt;="&amp;C184))</x:f>
      </x:c>
      <x:c r="I184" s="8" t="str">
        <x:f>IF(G184&lt;&gt;"OK","",IF(D184="Cancelada","No aplica",IF(COUNTIFS($A$5:$A$204,A184,$B$5:$B$204,"&lt;="&amp;C184,$C$5:$C$204,"&gt;="&amp;B184,$D$5:$D$204,"&lt;&gt;Cancelada",$G$5:$G$204,"OK")&gt;1,"Solape: revisar","Sin solape")))</x:f>
      </x:c>
    </x:row>
    <x:row r="185" ht="25" customHeight="1">
      <x:c r="A185" s="7"/>
      <x:c r="B185" s="11"/>
      <x:c r="C185" s="11"/>
      <x:c r="D185" s="7"/>
      <x:c r="E185" s="7"/>
      <x:c r="F185" s="2"/>
      <x:c r="G185" s="8" t="str">
        <x:f>IF(COUNTA(A185:E185)=0,"",IF(Configuracion!$B$7&lt;&gt;"OK","Revisar ajustes",IF(OR(A185="",NOT(ISNUMBER(B185)),NOT(ISNUMBER(C185)),AND(D185&lt;&gt;"Pendiente",D185&lt;&gt;"Aprobada",D185&lt;&gt;"Cancelada")),"Revisar datos",IF(OR(B185&lt;&gt;INT(B185),C185&lt;&gt;INT(C185),B185&gt;C185,B185&lt;DATE(Configuracion!$B$4,1,1),C185&gt;DATE(Configuracion!$B$4,12,31)),"Revisar fechas",IF(COUNTIF(Resumen!$A$9:$A$38,A185)&lt;&gt;1,"Revisar ID empleado","OK")))))</x:f>
      </x:c>
      <x:c r="H185" s="10" t="str">
        <x:f>IF(G185&lt;&gt;"OK","",SUMIFS(Configuracion!$C$10:$C$375,Configuracion!$A$10:$A$375,"&gt;="&amp;B185,Configuracion!$A$10:$A$375,"&lt;="&amp;C185))</x:f>
      </x:c>
      <x:c r="I185" s="8" t="str">
        <x:f>IF(G185&lt;&gt;"OK","",IF(D185="Cancelada","No aplica",IF(COUNTIFS($A$5:$A$204,A185,$B$5:$B$204,"&lt;="&amp;C185,$C$5:$C$204,"&gt;="&amp;B185,$D$5:$D$204,"&lt;&gt;Cancelada",$G$5:$G$204,"OK")&gt;1,"Solape: revisar","Sin solape")))</x:f>
      </x:c>
    </x:row>
    <x:row r="186" ht="25" customHeight="1">
      <x:c r="A186" s="7"/>
      <x:c r="B186" s="11"/>
      <x:c r="C186" s="11"/>
      <x:c r="D186" s="7"/>
      <x:c r="E186" s="7"/>
      <x:c r="F186" s="2"/>
      <x:c r="G186" s="8" t="str">
        <x:f>IF(COUNTA(A186:E186)=0,"",IF(Configuracion!$B$7&lt;&gt;"OK","Revisar ajustes",IF(OR(A186="",NOT(ISNUMBER(B186)),NOT(ISNUMBER(C186)),AND(D186&lt;&gt;"Pendiente",D186&lt;&gt;"Aprobada",D186&lt;&gt;"Cancelada")),"Revisar datos",IF(OR(B186&lt;&gt;INT(B186),C186&lt;&gt;INT(C186),B186&gt;C186,B186&lt;DATE(Configuracion!$B$4,1,1),C186&gt;DATE(Configuracion!$B$4,12,31)),"Revisar fechas",IF(COUNTIF(Resumen!$A$9:$A$38,A186)&lt;&gt;1,"Revisar ID empleado","OK")))))</x:f>
      </x:c>
      <x:c r="H186" s="10" t="str">
        <x:f>IF(G186&lt;&gt;"OK","",SUMIFS(Configuracion!$C$10:$C$375,Configuracion!$A$10:$A$375,"&gt;="&amp;B186,Configuracion!$A$10:$A$375,"&lt;="&amp;C186))</x:f>
      </x:c>
      <x:c r="I186" s="8" t="str">
        <x:f>IF(G186&lt;&gt;"OK","",IF(D186="Cancelada","No aplica",IF(COUNTIFS($A$5:$A$204,A186,$B$5:$B$204,"&lt;="&amp;C186,$C$5:$C$204,"&gt;="&amp;B186,$D$5:$D$204,"&lt;&gt;Cancelada",$G$5:$G$204,"OK")&gt;1,"Solape: revisar","Sin solape")))</x:f>
      </x:c>
    </x:row>
    <x:row r="187" ht="25" customHeight="1">
      <x:c r="A187" s="7"/>
      <x:c r="B187" s="11"/>
      <x:c r="C187" s="11"/>
      <x:c r="D187" s="7"/>
      <x:c r="E187" s="7"/>
      <x:c r="F187" s="2"/>
      <x:c r="G187" s="8" t="str">
        <x:f>IF(COUNTA(A187:E187)=0,"",IF(Configuracion!$B$7&lt;&gt;"OK","Revisar ajustes",IF(OR(A187="",NOT(ISNUMBER(B187)),NOT(ISNUMBER(C187)),AND(D187&lt;&gt;"Pendiente",D187&lt;&gt;"Aprobada",D187&lt;&gt;"Cancelada")),"Revisar datos",IF(OR(B187&lt;&gt;INT(B187),C187&lt;&gt;INT(C187),B187&gt;C187,B187&lt;DATE(Configuracion!$B$4,1,1),C187&gt;DATE(Configuracion!$B$4,12,31)),"Revisar fechas",IF(COUNTIF(Resumen!$A$9:$A$38,A187)&lt;&gt;1,"Revisar ID empleado","OK")))))</x:f>
      </x:c>
      <x:c r="H187" s="10" t="str">
        <x:f>IF(G187&lt;&gt;"OK","",SUMIFS(Configuracion!$C$10:$C$375,Configuracion!$A$10:$A$375,"&gt;="&amp;B187,Configuracion!$A$10:$A$375,"&lt;="&amp;C187))</x:f>
      </x:c>
      <x:c r="I187" s="8" t="str">
        <x:f>IF(G187&lt;&gt;"OK","",IF(D187="Cancelada","No aplica",IF(COUNTIFS($A$5:$A$204,A187,$B$5:$B$204,"&lt;="&amp;C187,$C$5:$C$204,"&gt;="&amp;B187,$D$5:$D$204,"&lt;&gt;Cancelada",$G$5:$G$204,"OK")&gt;1,"Solape: revisar","Sin solape")))</x:f>
      </x:c>
    </x:row>
    <x:row r="188" ht="25" customHeight="1">
      <x:c r="A188" s="7"/>
      <x:c r="B188" s="11"/>
      <x:c r="C188" s="11"/>
      <x:c r="D188" s="7"/>
      <x:c r="E188" s="7"/>
      <x:c r="F188" s="2"/>
      <x:c r="G188" s="8" t="str">
        <x:f>IF(COUNTA(A188:E188)=0,"",IF(Configuracion!$B$7&lt;&gt;"OK","Revisar ajustes",IF(OR(A188="",NOT(ISNUMBER(B188)),NOT(ISNUMBER(C188)),AND(D188&lt;&gt;"Pendiente",D188&lt;&gt;"Aprobada",D188&lt;&gt;"Cancelada")),"Revisar datos",IF(OR(B188&lt;&gt;INT(B188),C188&lt;&gt;INT(C188),B188&gt;C188,B188&lt;DATE(Configuracion!$B$4,1,1),C188&gt;DATE(Configuracion!$B$4,12,31)),"Revisar fechas",IF(COUNTIF(Resumen!$A$9:$A$38,A188)&lt;&gt;1,"Revisar ID empleado","OK")))))</x:f>
      </x:c>
      <x:c r="H188" s="10" t="str">
        <x:f>IF(G188&lt;&gt;"OK","",SUMIFS(Configuracion!$C$10:$C$375,Configuracion!$A$10:$A$375,"&gt;="&amp;B188,Configuracion!$A$10:$A$375,"&lt;="&amp;C188))</x:f>
      </x:c>
      <x:c r="I188" s="8" t="str">
        <x:f>IF(G188&lt;&gt;"OK","",IF(D188="Cancelada","No aplica",IF(COUNTIFS($A$5:$A$204,A188,$B$5:$B$204,"&lt;="&amp;C188,$C$5:$C$204,"&gt;="&amp;B188,$D$5:$D$204,"&lt;&gt;Cancelada",$G$5:$G$204,"OK")&gt;1,"Solape: revisar","Sin solape")))</x:f>
      </x:c>
    </x:row>
    <x:row r="189" ht="25" customHeight="1">
      <x:c r="A189" s="7"/>
      <x:c r="B189" s="11"/>
      <x:c r="C189" s="11"/>
      <x:c r="D189" s="7"/>
      <x:c r="E189" s="7"/>
      <x:c r="F189" s="2"/>
      <x:c r="G189" s="8" t="str">
        <x:f>IF(COUNTA(A189:E189)=0,"",IF(Configuracion!$B$7&lt;&gt;"OK","Revisar ajustes",IF(OR(A189="",NOT(ISNUMBER(B189)),NOT(ISNUMBER(C189)),AND(D189&lt;&gt;"Pendiente",D189&lt;&gt;"Aprobada",D189&lt;&gt;"Cancelada")),"Revisar datos",IF(OR(B189&lt;&gt;INT(B189),C189&lt;&gt;INT(C189),B189&gt;C189,B189&lt;DATE(Configuracion!$B$4,1,1),C189&gt;DATE(Configuracion!$B$4,12,31)),"Revisar fechas",IF(COUNTIF(Resumen!$A$9:$A$38,A189)&lt;&gt;1,"Revisar ID empleado","OK")))))</x:f>
      </x:c>
      <x:c r="H189" s="10" t="str">
        <x:f>IF(G189&lt;&gt;"OK","",SUMIFS(Configuracion!$C$10:$C$375,Configuracion!$A$10:$A$375,"&gt;="&amp;B189,Configuracion!$A$10:$A$375,"&lt;="&amp;C189))</x:f>
      </x:c>
      <x:c r="I189" s="8" t="str">
        <x:f>IF(G189&lt;&gt;"OK","",IF(D189="Cancelada","No aplica",IF(COUNTIFS($A$5:$A$204,A189,$B$5:$B$204,"&lt;="&amp;C189,$C$5:$C$204,"&gt;="&amp;B189,$D$5:$D$204,"&lt;&gt;Cancelada",$G$5:$G$204,"OK")&gt;1,"Solape: revisar","Sin solape")))</x:f>
      </x:c>
    </x:row>
    <x:row r="190" ht="25" customHeight="1">
      <x:c r="A190" s="7"/>
      <x:c r="B190" s="11"/>
      <x:c r="C190" s="11"/>
      <x:c r="D190" s="7"/>
      <x:c r="E190" s="7"/>
      <x:c r="F190" s="2"/>
      <x:c r="G190" s="8" t="str">
        <x:f>IF(COUNTA(A190:E190)=0,"",IF(Configuracion!$B$7&lt;&gt;"OK","Revisar ajustes",IF(OR(A190="",NOT(ISNUMBER(B190)),NOT(ISNUMBER(C190)),AND(D190&lt;&gt;"Pendiente",D190&lt;&gt;"Aprobada",D190&lt;&gt;"Cancelada")),"Revisar datos",IF(OR(B190&lt;&gt;INT(B190),C190&lt;&gt;INT(C190),B190&gt;C190,B190&lt;DATE(Configuracion!$B$4,1,1),C190&gt;DATE(Configuracion!$B$4,12,31)),"Revisar fechas",IF(COUNTIF(Resumen!$A$9:$A$38,A190)&lt;&gt;1,"Revisar ID empleado","OK")))))</x:f>
      </x:c>
      <x:c r="H190" s="10" t="str">
        <x:f>IF(G190&lt;&gt;"OK","",SUMIFS(Configuracion!$C$10:$C$375,Configuracion!$A$10:$A$375,"&gt;="&amp;B190,Configuracion!$A$10:$A$375,"&lt;="&amp;C190))</x:f>
      </x:c>
      <x:c r="I190" s="8" t="str">
        <x:f>IF(G190&lt;&gt;"OK","",IF(D190="Cancelada","No aplica",IF(COUNTIFS($A$5:$A$204,A190,$B$5:$B$204,"&lt;="&amp;C190,$C$5:$C$204,"&gt;="&amp;B190,$D$5:$D$204,"&lt;&gt;Cancelada",$G$5:$G$204,"OK")&gt;1,"Solape: revisar","Sin solape")))</x:f>
      </x:c>
    </x:row>
    <x:row r="191" ht="25" customHeight="1">
      <x:c r="A191" s="7"/>
      <x:c r="B191" s="11"/>
      <x:c r="C191" s="11"/>
      <x:c r="D191" s="7"/>
      <x:c r="E191" s="7"/>
      <x:c r="F191" s="2"/>
      <x:c r="G191" s="8" t="str">
        <x:f>IF(COUNTA(A191:E191)=0,"",IF(Configuracion!$B$7&lt;&gt;"OK","Revisar ajustes",IF(OR(A191="",NOT(ISNUMBER(B191)),NOT(ISNUMBER(C191)),AND(D191&lt;&gt;"Pendiente",D191&lt;&gt;"Aprobada",D191&lt;&gt;"Cancelada")),"Revisar datos",IF(OR(B191&lt;&gt;INT(B191),C191&lt;&gt;INT(C191),B191&gt;C191,B191&lt;DATE(Configuracion!$B$4,1,1),C191&gt;DATE(Configuracion!$B$4,12,31)),"Revisar fechas",IF(COUNTIF(Resumen!$A$9:$A$38,A191)&lt;&gt;1,"Revisar ID empleado","OK")))))</x:f>
      </x:c>
      <x:c r="H191" s="10" t="str">
        <x:f>IF(G191&lt;&gt;"OK","",SUMIFS(Configuracion!$C$10:$C$375,Configuracion!$A$10:$A$375,"&gt;="&amp;B191,Configuracion!$A$10:$A$375,"&lt;="&amp;C191))</x:f>
      </x:c>
      <x:c r="I191" s="8" t="str">
        <x:f>IF(G191&lt;&gt;"OK","",IF(D191="Cancelada","No aplica",IF(COUNTIFS($A$5:$A$204,A191,$B$5:$B$204,"&lt;="&amp;C191,$C$5:$C$204,"&gt;="&amp;B191,$D$5:$D$204,"&lt;&gt;Cancelada",$G$5:$G$204,"OK")&gt;1,"Solape: revisar","Sin solape")))</x:f>
      </x:c>
    </x:row>
    <x:row r="192" ht="25" customHeight="1">
      <x:c r="A192" s="7"/>
      <x:c r="B192" s="11"/>
      <x:c r="C192" s="11"/>
      <x:c r="D192" s="7"/>
      <x:c r="E192" s="7"/>
      <x:c r="F192" s="2"/>
      <x:c r="G192" s="8" t="str">
        <x:f>IF(COUNTA(A192:E192)=0,"",IF(Configuracion!$B$7&lt;&gt;"OK","Revisar ajustes",IF(OR(A192="",NOT(ISNUMBER(B192)),NOT(ISNUMBER(C192)),AND(D192&lt;&gt;"Pendiente",D192&lt;&gt;"Aprobada",D192&lt;&gt;"Cancelada")),"Revisar datos",IF(OR(B192&lt;&gt;INT(B192),C192&lt;&gt;INT(C192),B192&gt;C192,B192&lt;DATE(Configuracion!$B$4,1,1),C192&gt;DATE(Configuracion!$B$4,12,31)),"Revisar fechas",IF(COUNTIF(Resumen!$A$9:$A$38,A192)&lt;&gt;1,"Revisar ID empleado","OK")))))</x:f>
      </x:c>
      <x:c r="H192" s="10" t="str">
        <x:f>IF(G192&lt;&gt;"OK","",SUMIFS(Configuracion!$C$10:$C$375,Configuracion!$A$10:$A$375,"&gt;="&amp;B192,Configuracion!$A$10:$A$375,"&lt;="&amp;C192))</x:f>
      </x:c>
      <x:c r="I192" s="8" t="str">
        <x:f>IF(G192&lt;&gt;"OK","",IF(D192="Cancelada","No aplica",IF(COUNTIFS($A$5:$A$204,A192,$B$5:$B$204,"&lt;="&amp;C192,$C$5:$C$204,"&gt;="&amp;B192,$D$5:$D$204,"&lt;&gt;Cancelada",$G$5:$G$204,"OK")&gt;1,"Solape: revisar","Sin solape")))</x:f>
      </x:c>
    </x:row>
    <x:row r="193" ht="25" customHeight="1">
      <x:c r="A193" s="7"/>
      <x:c r="B193" s="11"/>
      <x:c r="C193" s="11"/>
      <x:c r="D193" s="7"/>
      <x:c r="E193" s="7"/>
      <x:c r="F193" s="2"/>
      <x:c r="G193" s="8" t="str">
        <x:f>IF(COUNTA(A193:E193)=0,"",IF(Configuracion!$B$7&lt;&gt;"OK","Revisar ajustes",IF(OR(A193="",NOT(ISNUMBER(B193)),NOT(ISNUMBER(C193)),AND(D193&lt;&gt;"Pendiente",D193&lt;&gt;"Aprobada",D193&lt;&gt;"Cancelada")),"Revisar datos",IF(OR(B193&lt;&gt;INT(B193),C193&lt;&gt;INT(C193),B193&gt;C193,B193&lt;DATE(Configuracion!$B$4,1,1),C193&gt;DATE(Configuracion!$B$4,12,31)),"Revisar fechas",IF(COUNTIF(Resumen!$A$9:$A$38,A193)&lt;&gt;1,"Revisar ID empleado","OK")))))</x:f>
      </x:c>
      <x:c r="H193" s="10" t="str">
        <x:f>IF(G193&lt;&gt;"OK","",SUMIFS(Configuracion!$C$10:$C$375,Configuracion!$A$10:$A$375,"&gt;="&amp;B193,Configuracion!$A$10:$A$375,"&lt;="&amp;C193))</x:f>
      </x:c>
      <x:c r="I193" s="8" t="str">
        <x:f>IF(G193&lt;&gt;"OK","",IF(D193="Cancelada","No aplica",IF(COUNTIFS($A$5:$A$204,A193,$B$5:$B$204,"&lt;="&amp;C193,$C$5:$C$204,"&gt;="&amp;B193,$D$5:$D$204,"&lt;&gt;Cancelada",$G$5:$G$204,"OK")&gt;1,"Solape: revisar","Sin solape")))</x:f>
      </x:c>
    </x:row>
    <x:row r="194" ht="25" customHeight="1">
      <x:c r="A194" s="7"/>
      <x:c r="B194" s="11"/>
      <x:c r="C194" s="11"/>
      <x:c r="D194" s="7"/>
      <x:c r="E194" s="7"/>
      <x:c r="F194" s="2"/>
      <x:c r="G194" s="8" t="str">
        <x:f>IF(COUNTA(A194:E194)=0,"",IF(Configuracion!$B$7&lt;&gt;"OK","Revisar ajustes",IF(OR(A194="",NOT(ISNUMBER(B194)),NOT(ISNUMBER(C194)),AND(D194&lt;&gt;"Pendiente",D194&lt;&gt;"Aprobada",D194&lt;&gt;"Cancelada")),"Revisar datos",IF(OR(B194&lt;&gt;INT(B194),C194&lt;&gt;INT(C194),B194&gt;C194,B194&lt;DATE(Configuracion!$B$4,1,1),C194&gt;DATE(Configuracion!$B$4,12,31)),"Revisar fechas",IF(COUNTIF(Resumen!$A$9:$A$38,A194)&lt;&gt;1,"Revisar ID empleado","OK")))))</x:f>
      </x:c>
      <x:c r="H194" s="10" t="str">
        <x:f>IF(G194&lt;&gt;"OK","",SUMIFS(Configuracion!$C$10:$C$375,Configuracion!$A$10:$A$375,"&gt;="&amp;B194,Configuracion!$A$10:$A$375,"&lt;="&amp;C194))</x:f>
      </x:c>
      <x:c r="I194" s="8" t="str">
        <x:f>IF(G194&lt;&gt;"OK","",IF(D194="Cancelada","No aplica",IF(COUNTIFS($A$5:$A$204,A194,$B$5:$B$204,"&lt;="&amp;C194,$C$5:$C$204,"&gt;="&amp;B194,$D$5:$D$204,"&lt;&gt;Cancelada",$G$5:$G$204,"OK")&gt;1,"Solape: revisar","Sin solape")))</x:f>
      </x:c>
    </x:row>
    <x:row r="195" ht="25" customHeight="1">
      <x:c r="A195" s="7"/>
      <x:c r="B195" s="11"/>
      <x:c r="C195" s="11"/>
      <x:c r="D195" s="7"/>
      <x:c r="E195" s="7"/>
      <x:c r="F195" s="2"/>
      <x:c r="G195" s="8" t="str">
        <x:f>IF(COUNTA(A195:E195)=0,"",IF(Configuracion!$B$7&lt;&gt;"OK","Revisar ajustes",IF(OR(A195="",NOT(ISNUMBER(B195)),NOT(ISNUMBER(C195)),AND(D195&lt;&gt;"Pendiente",D195&lt;&gt;"Aprobada",D195&lt;&gt;"Cancelada")),"Revisar datos",IF(OR(B195&lt;&gt;INT(B195),C195&lt;&gt;INT(C195),B195&gt;C195,B195&lt;DATE(Configuracion!$B$4,1,1),C195&gt;DATE(Configuracion!$B$4,12,31)),"Revisar fechas",IF(COUNTIF(Resumen!$A$9:$A$38,A195)&lt;&gt;1,"Revisar ID empleado","OK")))))</x:f>
      </x:c>
      <x:c r="H195" s="10" t="str">
        <x:f>IF(G195&lt;&gt;"OK","",SUMIFS(Configuracion!$C$10:$C$375,Configuracion!$A$10:$A$375,"&gt;="&amp;B195,Configuracion!$A$10:$A$375,"&lt;="&amp;C195))</x:f>
      </x:c>
      <x:c r="I195" s="8" t="str">
        <x:f>IF(G195&lt;&gt;"OK","",IF(D195="Cancelada","No aplica",IF(COUNTIFS($A$5:$A$204,A195,$B$5:$B$204,"&lt;="&amp;C195,$C$5:$C$204,"&gt;="&amp;B195,$D$5:$D$204,"&lt;&gt;Cancelada",$G$5:$G$204,"OK")&gt;1,"Solape: revisar","Sin solape")))</x:f>
      </x:c>
    </x:row>
    <x:row r="196" ht="25" customHeight="1">
      <x:c r="A196" s="7"/>
      <x:c r="B196" s="11"/>
      <x:c r="C196" s="11"/>
      <x:c r="D196" s="7"/>
      <x:c r="E196" s="7"/>
      <x:c r="F196" s="2"/>
      <x:c r="G196" s="8" t="str">
        <x:f>IF(COUNTA(A196:E196)=0,"",IF(Configuracion!$B$7&lt;&gt;"OK","Revisar ajustes",IF(OR(A196="",NOT(ISNUMBER(B196)),NOT(ISNUMBER(C196)),AND(D196&lt;&gt;"Pendiente",D196&lt;&gt;"Aprobada",D196&lt;&gt;"Cancelada")),"Revisar datos",IF(OR(B196&lt;&gt;INT(B196),C196&lt;&gt;INT(C196),B196&gt;C196,B196&lt;DATE(Configuracion!$B$4,1,1),C196&gt;DATE(Configuracion!$B$4,12,31)),"Revisar fechas",IF(COUNTIF(Resumen!$A$9:$A$38,A196)&lt;&gt;1,"Revisar ID empleado","OK")))))</x:f>
      </x:c>
      <x:c r="H196" s="10" t="str">
        <x:f>IF(G196&lt;&gt;"OK","",SUMIFS(Configuracion!$C$10:$C$375,Configuracion!$A$10:$A$375,"&gt;="&amp;B196,Configuracion!$A$10:$A$375,"&lt;="&amp;C196))</x:f>
      </x:c>
      <x:c r="I196" s="8" t="str">
        <x:f>IF(G196&lt;&gt;"OK","",IF(D196="Cancelada","No aplica",IF(COUNTIFS($A$5:$A$204,A196,$B$5:$B$204,"&lt;="&amp;C196,$C$5:$C$204,"&gt;="&amp;B196,$D$5:$D$204,"&lt;&gt;Cancelada",$G$5:$G$204,"OK")&gt;1,"Solape: revisar","Sin solape")))</x:f>
      </x:c>
    </x:row>
    <x:row r="197" ht="25" customHeight="1">
      <x:c r="A197" s="7"/>
      <x:c r="B197" s="11"/>
      <x:c r="C197" s="11"/>
      <x:c r="D197" s="7"/>
      <x:c r="E197" s="7"/>
      <x:c r="F197" s="2"/>
      <x:c r="G197" s="8" t="str">
        <x:f>IF(COUNTA(A197:E197)=0,"",IF(Configuracion!$B$7&lt;&gt;"OK","Revisar ajustes",IF(OR(A197="",NOT(ISNUMBER(B197)),NOT(ISNUMBER(C197)),AND(D197&lt;&gt;"Pendiente",D197&lt;&gt;"Aprobada",D197&lt;&gt;"Cancelada")),"Revisar datos",IF(OR(B197&lt;&gt;INT(B197),C197&lt;&gt;INT(C197),B197&gt;C197,B197&lt;DATE(Configuracion!$B$4,1,1),C197&gt;DATE(Configuracion!$B$4,12,31)),"Revisar fechas",IF(COUNTIF(Resumen!$A$9:$A$38,A197)&lt;&gt;1,"Revisar ID empleado","OK")))))</x:f>
      </x:c>
      <x:c r="H197" s="10" t="str">
        <x:f>IF(G197&lt;&gt;"OK","",SUMIFS(Configuracion!$C$10:$C$375,Configuracion!$A$10:$A$375,"&gt;="&amp;B197,Configuracion!$A$10:$A$375,"&lt;="&amp;C197))</x:f>
      </x:c>
      <x:c r="I197" s="8" t="str">
        <x:f>IF(G197&lt;&gt;"OK","",IF(D197="Cancelada","No aplica",IF(COUNTIFS($A$5:$A$204,A197,$B$5:$B$204,"&lt;="&amp;C197,$C$5:$C$204,"&gt;="&amp;B197,$D$5:$D$204,"&lt;&gt;Cancelada",$G$5:$G$204,"OK")&gt;1,"Solape: revisar","Sin solape")))</x:f>
      </x:c>
    </x:row>
    <x:row r="198" ht="25" customHeight="1">
      <x:c r="A198" s="7"/>
      <x:c r="B198" s="11"/>
      <x:c r="C198" s="11"/>
      <x:c r="D198" s="7"/>
      <x:c r="E198" s="7"/>
      <x:c r="F198" s="2"/>
      <x:c r="G198" s="8" t="str">
        <x:f>IF(COUNTA(A198:E198)=0,"",IF(Configuracion!$B$7&lt;&gt;"OK","Revisar ajustes",IF(OR(A198="",NOT(ISNUMBER(B198)),NOT(ISNUMBER(C198)),AND(D198&lt;&gt;"Pendiente",D198&lt;&gt;"Aprobada",D198&lt;&gt;"Cancelada")),"Revisar datos",IF(OR(B198&lt;&gt;INT(B198),C198&lt;&gt;INT(C198),B198&gt;C198,B198&lt;DATE(Configuracion!$B$4,1,1),C198&gt;DATE(Configuracion!$B$4,12,31)),"Revisar fechas",IF(COUNTIF(Resumen!$A$9:$A$38,A198)&lt;&gt;1,"Revisar ID empleado","OK")))))</x:f>
      </x:c>
      <x:c r="H198" s="10" t="str">
        <x:f>IF(G198&lt;&gt;"OK","",SUMIFS(Configuracion!$C$10:$C$375,Configuracion!$A$10:$A$375,"&gt;="&amp;B198,Configuracion!$A$10:$A$375,"&lt;="&amp;C198))</x:f>
      </x:c>
      <x:c r="I198" s="8" t="str">
        <x:f>IF(G198&lt;&gt;"OK","",IF(D198="Cancelada","No aplica",IF(COUNTIFS($A$5:$A$204,A198,$B$5:$B$204,"&lt;="&amp;C198,$C$5:$C$204,"&gt;="&amp;B198,$D$5:$D$204,"&lt;&gt;Cancelada",$G$5:$G$204,"OK")&gt;1,"Solape: revisar","Sin solape")))</x:f>
      </x:c>
    </x:row>
    <x:row r="199" ht="25" customHeight="1">
      <x:c r="A199" s="7"/>
      <x:c r="B199" s="11"/>
      <x:c r="C199" s="11"/>
      <x:c r="D199" s="7"/>
      <x:c r="E199" s="7"/>
      <x:c r="F199" s="2"/>
      <x:c r="G199" s="8" t="str">
        <x:f>IF(COUNTA(A199:E199)=0,"",IF(Configuracion!$B$7&lt;&gt;"OK","Revisar ajustes",IF(OR(A199="",NOT(ISNUMBER(B199)),NOT(ISNUMBER(C199)),AND(D199&lt;&gt;"Pendiente",D199&lt;&gt;"Aprobada",D199&lt;&gt;"Cancelada")),"Revisar datos",IF(OR(B199&lt;&gt;INT(B199),C199&lt;&gt;INT(C199),B199&gt;C199,B199&lt;DATE(Configuracion!$B$4,1,1),C199&gt;DATE(Configuracion!$B$4,12,31)),"Revisar fechas",IF(COUNTIF(Resumen!$A$9:$A$38,A199)&lt;&gt;1,"Revisar ID empleado","OK")))))</x:f>
      </x:c>
      <x:c r="H199" s="10" t="str">
        <x:f>IF(G199&lt;&gt;"OK","",SUMIFS(Configuracion!$C$10:$C$375,Configuracion!$A$10:$A$375,"&gt;="&amp;B199,Configuracion!$A$10:$A$375,"&lt;="&amp;C199))</x:f>
      </x:c>
      <x:c r="I199" s="8" t="str">
        <x:f>IF(G199&lt;&gt;"OK","",IF(D199="Cancelada","No aplica",IF(COUNTIFS($A$5:$A$204,A199,$B$5:$B$204,"&lt;="&amp;C199,$C$5:$C$204,"&gt;="&amp;B199,$D$5:$D$204,"&lt;&gt;Cancelada",$G$5:$G$204,"OK")&gt;1,"Solape: revisar","Sin solape")))</x:f>
      </x:c>
    </x:row>
    <x:row r="200" ht="25" customHeight="1">
      <x:c r="A200" s="7"/>
      <x:c r="B200" s="11"/>
      <x:c r="C200" s="11"/>
      <x:c r="D200" s="7"/>
      <x:c r="E200" s="7"/>
      <x:c r="F200" s="2"/>
      <x:c r="G200" s="8" t="str">
        <x:f>IF(COUNTA(A200:E200)=0,"",IF(Configuracion!$B$7&lt;&gt;"OK","Revisar ajustes",IF(OR(A200="",NOT(ISNUMBER(B200)),NOT(ISNUMBER(C200)),AND(D200&lt;&gt;"Pendiente",D200&lt;&gt;"Aprobada",D200&lt;&gt;"Cancelada")),"Revisar datos",IF(OR(B200&lt;&gt;INT(B200),C200&lt;&gt;INT(C200),B200&gt;C200,B200&lt;DATE(Configuracion!$B$4,1,1),C200&gt;DATE(Configuracion!$B$4,12,31)),"Revisar fechas",IF(COUNTIF(Resumen!$A$9:$A$38,A200)&lt;&gt;1,"Revisar ID empleado","OK")))))</x:f>
      </x:c>
      <x:c r="H200" s="10" t="str">
        <x:f>IF(G200&lt;&gt;"OK","",SUMIFS(Configuracion!$C$10:$C$375,Configuracion!$A$10:$A$375,"&gt;="&amp;B200,Configuracion!$A$10:$A$375,"&lt;="&amp;C200))</x:f>
      </x:c>
      <x:c r="I200" s="8" t="str">
        <x:f>IF(G200&lt;&gt;"OK","",IF(D200="Cancelada","No aplica",IF(COUNTIFS($A$5:$A$204,A200,$B$5:$B$204,"&lt;="&amp;C200,$C$5:$C$204,"&gt;="&amp;B200,$D$5:$D$204,"&lt;&gt;Cancelada",$G$5:$G$204,"OK")&gt;1,"Solape: revisar","Sin solape")))</x:f>
      </x:c>
    </x:row>
    <x:row r="201" ht="25" customHeight="1">
      <x:c r="A201" s="7"/>
      <x:c r="B201" s="11"/>
      <x:c r="C201" s="11"/>
      <x:c r="D201" s="7"/>
      <x:c r="E201" s="7"/>
      <x:c r="F201" s="2"/>
      <x:c r="G201" s="8" t="str">
        <x:f>IF(COUNTA(A201:E201)=0,"",IF(Configuracion!$B$7&lt;&gt;"OK","Revisar ajustes",IF(OR(A201="",NOT(ISNUMBER(B201)),NOT(ISNUMBER(C201)),AND(D201&lt;&gt;"Pendiente",D201&lt;&gt;"Aprobada",D201&lt;&gt;"Cancelada")),"Revisar datos",IF(OR(B201&lt;&gt;INT(B201),C201&lt;&gt;INT(C201),B201&gt;C201,B201&lt;DATE(Configuracion!$B$4,1,1),C201&gt;DATE(Configuracion!$B$4,12,31)),"Revisar fechas",IF(COUNTIF(Resumen!$A$9:$A$38,A201)&lt;&gt;1,"Revisar ID empleado","OK")))))</x:f>
      </x:c>
      <x:c r="H201" s="10" t="str">
        <x:f>IF(G201&lt;&gt;"OK","",SUMIFS(Configuracion!$C$10:$C$375,Configuracion!$A$10:$A$375,"&gt;="&amp;B201,Configuracion!$A$10:$A$375,"&lt;="&amp;C201))</x:f>
      </x:c>
      <x:c r="I201" s="8" t="str">
        <x:f>IF(G201&lt;&gt;"OK","",IF(D201="Cancelada","No aplica",IF(COUNTIFS($A$5:$A$204,A201,$B$5:$B$204,"&lt;="&amp;C201,$C$5:$C$204,"&gt;="&amp;B201,$D$5:$D$204,"&lt;&gt;Cancelada",$G$5:$G$204,"OK")&gt;1,"Solape: revisar","Sin solape")))</x:f>
      </x:c>
    </x:row>
    <x:row r="202" ht="25" customHeight="1">
      <x:c r="A202" s="7"/>
      <x:c r="B202" s="11"/>
      <x:c r="C202" s="11"/>
      <x:c r="D202" s="7"/>
      <x:c r="E202" s="7"/>
      <x:c r="F202" s="2"/>
      <x:c r="G202" s="8" t="str">
        <x:f>IF(COUNTA(A202:E202)=0,"",IF(Configuracion!$B$7&lt;&gt;"OK","Revisar ajustes",IF(OR(A202="",NOT(ISNUMBER(B202)),NOT(ISNUMBER(C202)),AND(D202&lt;&gt;"Pendiente",D202&lt;&gt;"Aprobada",D202&lt;&gt;"Cancelada")),"Revisar datos",IF(OR(B202&lt;&gt;INT(B202),C202&lt;&gt;INT(C202),B202&gt;C202,B202&lt;DATE(Configuracion!$B$4,1,1),C202&gt;DATE(Configuracion!$B$4,12,31)),"Revisar fechas",IF(COUNTIF(Resumen!$A$9:$A$38,A202)&lt;&gt;1,"Revisar ID empleado","OK")))))</x:f>
      </x:c>
      <x:c r="H202" s="10" t="str">
        <x:f>IF(G202&lt;&gt;"OK","",SUMIFS(Configuracion!$C$10:$C$375,Configuracion!$A$10:$A$375,"&gt;="&amp;B202,Configuracion!$A$10:$A$375,"&lt;="&amp;C202))</x:f>
      </x:c>
      <x:c r="I202" s="8" t="str">
        <x:f>IF(G202&lt;&gt;"OK","",IF(D202="Cancelada","No aplica",IF(COUNTIFS($A$5:$A$204,A202,$B$5:$B$204,"&lt;="&amp;C202,$C$5:$C$204,"&gt;="&amp;B202,$D$5:$D$204,"&lt;&gt;Cancelada",$G$5:$G$204,"OK")&gt;1,"Solape: revisar","Sin solape")))</x:f>
      </x:c>
    </x:row>
    <x:row r="203" ht="25" customHeight="1">
      <x:c r="A203" s="7"/>
      <x:c r="B203" s="11"/>
      <x:c r="C203" s="11"/>
      <x:c r="D203" s="7"/>
      <x:c r="E203" s="7"/>
      <x:c r="F203" s="2"/>
      <x:c r="G203" s="8" t="str">
        <x:f>IF(COUNTA(A203:E203)=0,"",IF(Configuracion!$B$7&lt;&gt;"OK","Revisar ajustes",IF(OR(A203="",NOT(ISNUMBER(B203)),NOT(ISNUMBER(C203)),AND(D203&lt;&gt;"Pendiente",D203&lt;&gt;"Aprobada",D203&lt;&gt;"Cancelada")),"Revisar datos",IF(OR(B203&lt;&gt;INT(B203),C203&lt;&gt;INT(C203),B203&gt;C203,B203&lt;DATE(Configuracion!$B$4,1,1),C203&gt;DATE(Configuracion!$B$4,12,31)),"Revisar fechas",IF(COUNTIF(Resumen!$A$9:$A$38,A203)&lt;&gt;1,"Revisar ID empleado","OK")))))</x:f>
      </x:c>
      <x:c r="H203" s="10" t="str">
        <x:f>IF(G203&lt;&gt;"OK","",SUMIFS(Configuracion!$C$10:$C$375,Configuracion!$A$10:$A$375,"&gt;="&amp;B203,Configuracion!$A$10:$A$375,"&lt;="&amp;C203))</x:f>
      </x:c>
      <x:c r="I203" s="8" t="str">
        <x:f>IF(G203&lt;&gt;"OK","",IF(D203="Cancelada","No aplica",IF(COUNTIFS($A$5:$A$204,A203,$B$5:$B$204,"&lt;="&amp;C203,$C$5:$C$204,"&gt;="&amp;B203,$D$5:$D$204,"&lt;&gt;Cancelada",$G$5:$G$204,"OK")&gt;1,"Solape: revisar","Sin solape")))</x:f>
      </x:c>
    </x:row>
    <x:row r="204" ht="25" customHeight="1">
      <x:c r="A204" s="7"/>
      <x:c r="B204" s="11"/>
      <x:c r="C204" s="11"/>
      <x:c r="D204" s="7"/>
      <x:c r="E204" s="7"/>
      <x:c r="F204" s="2"/>
      <x:c r="G204" s="8" t="str">
        <x:f>IF(COUNTA(A204:E204)=0,"",IF(Configuracion!$B$7&lt;&gt;"OK","Revisar ajustes",IF(OR(A204="",NOT(ISNUMBER(B204)),NOT(ISNUMBER(C204)),AND(D204&lt;&gt;"Pendiente",D204&lt;&gt;"Aprobada",D204&lt;&gt;"Cancelada")),"Revisar datos",IF(OR(B204&lt;&gt;INT(B204),C204&lt;&gt;INT(C204),B204&gt;C204,B204&lt;DATE(Configuracion!$B$4,1,1),C204&gt;DATE(Configuracion!$B$4,12,31)),"Revisar fechas",IF(COUNTIF(Resumen!$A$9:$A$38,A204)&lt;&gt;1,"Revisar ID empleado","OK")))))</x:f>
      </x:c>
      <x:c r="H204" s="10" t="str">
        <x:f>IF(G204&lt;&gt;"OK","",SUMIFS(Configuracion!$C$10:$C$375,Configuracion!$A$10:$A$375,"&gt;="&amp;B204,Configuracion!$A$10:$A$375,"&lt;="&amp;C204))</x:f>
      </x:c>
      <x:c r="I204" s="8" t="str">
        <x:f>IF(G204&lt;&gt;"OK","",IF(D204="Cancelada","No aplica",IF(COUNTIFS($A$5:$A$204,A204,$B$5:$B$204,"&lt;="&amp;C204,$C$5:$C$204,"&gt;="&amp;B204,$D$5:$D$204,"&lt;&gt;Cancelada",$G$5:$G$204,"OK")&gt;1,"Solape: revisar","Sin solape")))</x:f>
      </x:c>
    </x:row>
  </x:sheetData>
  <x:conditionalFormatting sqref="G5:I204">
    <x:cfRule type="containsText" dxfId="4" priority="1" operator="containsText" text="Revisar"/>
  </x:conditionalFormatting>
  <x:conditionalFormatting sqref="I5:I204">
    <x:cfRule type="beginsWith" dxfId="5" priority="2" operator="beginsWith" text="Solape:"/>
  </x:conditionalFormatting>
  <x:dataValidations count="1">
    <x:dataValidation type="list" sqref="D5:D204">
      <x:formula1>"Pendiente,Aprobada,Cancelada"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3" hidden="0" customWidth="1"/>
    <x:col min="3" max="3" width="27" hidden="0" customWidth="1"/>
    <x:col min="4" max="4" width="16" hidden="0" customWidth="1"/>
    <x:col min="5" max="5" width="20" hidden="0" customWidth="1"/>
    <x:col min="6" max="6" width="32" hidden="0" customWidth="1"/>
    <x:col min="7" max="7" width="20" hidden="0" customWidth="1"/>
    <x:col min="8" max="8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Configuración y calendario anual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Año</x:v>
      </x:c>
      <x:c r="B4" s="7" t="n">
        <x:v>2027</x:v>
      </x:c>
      <x:c r="C4" s="2"/>
      <x:c r="D4" s="2"/>
      <x:c r="E4" s="2"/>
      <x:c r="F4" s="2"/>
      <x:c r="G4" s="2"/>
      <x:c r="H4" s="2"/>
    </x:row>
    <x:row r="5" ht="25" customHeight="1">
      <x:c r="A5" s="2" t="str">
        <x:v>Cómputo</x:v>
      </x:c>
      <x:c r="B5" s="7" t="str">
        <x:v>Laborables</x:v>
      </x:c>
      <x:c r="C5" s="2"/>
      <x:c r="D5" s="2"/>
      <x:c r="E5" s="2"/>
      <x:c r="F5" s="2"/>
      <x:c r="G5" s="2"/>
      <x:c r="H5" s="2"/>
    </x:row>
    <x:row r="6" ht="25" customHeight="1">
      <x:c r="A6" s="2" t="str">
        <x:v>Descansos (lun-dom)</x:v>
      </x:c>
      <x:c r="B6" s="7" t="n">
        <x:v>0</x:v>
      </x:c>
      <x:c r="C6" s="7" t="n">
        <x:v>0</x:v>
      </x:c>
      <x:c r="D6" s="7" t="n">
        <x:v>0</x:v>
      </x:c>
      <x:c r="E6" s="7" t="n">
        <x:v>0</x:v>
      </x:c>
      <x:c r="F6" s="7" t="n">
        <x:v>0</x:v>
      </x:c>
      <x:c r="G6" s="7" t="n">
        <x:v>1</x:v>
      </x:c>
      <x:c r="H6" s="7" t="n">
        <x:v>1</x:v>
      </x:c>
    </x:row>
    <x:row r="7" ht="25" customHeight="1">
      <x:c r="A7" s="2" t="str">
        <x:v>Revisión ajustes</x:v>
      </x:c>
      <x:c r="B7" s="2" t="str">
        <x:f>IF(OR(NOT(ISNUMBER(B4)),AND(B5&lt;&gt;"Naturales",B5&lt;&gt;"Laborables"),COUNT(B6:H6)&lt;&gt;7,COUNTIF(G10:G39,"Revisar fecha")&gt;0),"Revisar ajustes",IF(OR(B4&lt;2000,B4&gt;2099,B4&lt;&gt;INT(B4),COUNTIF(B6:H6,0)+COUNTIF(B6:H6,1)&lt;&gt;7,SUM(B6:H6)=7),"Revisar ajustes","OK"))</x:f>
        <x:v>OK</x:v>
      </x:c>
      <x:c r="C7" s="2"/>
      <x:c r="D7" s="2"/>
      <x:c r="E7" s="2"/>
      <x:c r="F7" s="2"/>
      <x:c r="G7" s="2"/>
      <x:c r="H7" s="2"/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42" customHeight="1">
      <x:c r="A9" s="6" t="str">
        <x:v>Fecha</x:v>
      </x:c>
      <x:c r="B9" s="6" t="str">
        <x:v>Laborable</x:v>
      </x:c>
      <x:c r="C9" s="6" t="str">
        <x:v>Computable</x:v>
      </x:c>
      <x:c r="D9" s="2"/>
      <x:c r="E9" s="2" t="str">
        <x:v>Festivos (fechas)</x:v>
      </x:c>
      <x:c r="F9" s="2" t="str">
        <x:v>Descripción</x:v>
      </x:c>
      <x:c r="G9" s="2" t="str">
        <x:v>Revisión festivo</x:v>
      </x:c>
      <x:c r="H9" s="2"/>
    </x:row>
    <x:row r="10" ht="25" customHeight="1">
      <x:c r="A10" s="12" t="n">
        <x:f>IF($B$7&lt;&gt;"OK","",IF(YEAR(DATE($B$4,1,1)+0)=$B$4,DATE($B$4,1,1)+0,""))</x:f>
        <x:v>46388</x:v>
      </x:c>
      <x:c r="B10" s="2" t="n">
        <x:f>IF(A10="","",IF(AND(INDEX($B$6:$H$6,1,WEEKDAY(A10,2))=0,COUNTIF($E$10:$E$39,A10)=0),1,0))</x:f>
        <x:v>1</x:v>
      </x:c>
      <x:c r="C10" s="2" t="n">
        <x:f>IF(A10="","",IF($B$5="Naturales",1,B10))</x:f>
        <x:v>1</x:v>
      </x:c>
      <x:c r="D10" s="2"/>
      <x:c r="E10" s="11" t="d">
        <x:v>2027-02-03T00:00:00.000Z</x:v>
      </x:c>
      <x:c r="F10" s="7" t="str">
        <x:v>Ejemplo ficticio: sustituir</x:v>
      </x:c>
      <x:c r="G10" s="8" t="str">
        <x:f>IF(E10="","",IF(NOT(ISNUMBER(E10)),"Revisar fecha",IF(OR(E10&lt;&gt;INT(E10),E10&lt;DATE($B$4,1,1),E10&gt;DATE($B$4,12,31)),"Revisar fecha","OK")))</x:f>
        <x:v>OK</x:v>
      </x:c>
      <x:c r="H10" s="2"/>
    </x:row>
    <x:row r="11" ht="25" customHeight="1">
      <x:c r="A11" s="12" t="n">
        <x:f>IF($B$7&lt;&gt;"OK","",IF(YEAR(DATE($B$4,1,1)+1)=$B$4,DATE($B$4,1,1)+1,""))</x:f>
        <x:v>46389</x:v>
      </x:c>
      <x:c r="B11" s="2" t="n">
        <x:f>IF(A11="","",IF(AND(INDEX($B$6:$H$6,1,WEEKDAY(A11,2))=0,COUNTIF($E$10:$E$39,A11)=0),1,0))</x:f>
        <x:v>0</x:v>
      </x:c>
      <x:c r="C11" s="2" t="n">
        <x:f>IF(A11="","",IF($B$5="Naturales",1,B11))</x:f>
        <x:v>0</x:v>
      </x:c>
      <x:c r="D11" s="2"/>
      <x:c r="E11" s="11"/>
      <x:c r="F11" s="7"/>
      <x:c r="G11" s="8" t="str">
        <x:f>IF(E11="","",IF(NOT(ISNUMBER(E11)),"Revisar fecha",IF(OR(E11&lt;&gt;INT(E11),E11&lt;DATE($B$4,1,1),E11&gt;DATE($B$4,12,31)),"Revisar fecha","OK")))</x:f>
      </x:c>
      <x:c r="H11" s="2"/>
    </x:row>
    <x:row r="12" ht="25" customHeight="1">
      <x:c r="A12" s="12" t="n">
        <x:f>IF($B$7&lt;&gt;"OK","",IF(YEAR(DATE($B$4,1,1)+2)=$B$4,DATE($B$4,1,1)+2,""))</x:f>
        <x:v>46390</x:v>
      </x:c>
      <x:c r="B12" s="2" t="n">
        <x:f>IF(A12="","",IF(AND(INDEX($B$6:$H$6,1,WEEKDAY(A12,2))=0,COUNTIF($E$10:$E$39,A12)=0),1,0))</x:f>
        <x:v>0</x:v>
      </x:c>
      <x:c r="C12" s="2" t="n">
        <x:f>IF(A12="","",IF($B$5="Naturales",1,B12))</x:f>
        <x:v>0</x:v>
      </x:c>
      <x:c r="D12" s="2"/>
      <x:c r="E12" s="11"/>
      <x:c r="F12" s="7"/>
      <x:c r="G12" s="8" t="str">
        <x:f>IF(E12="","",IF(NOT(ISNUMBER(E12)),"Revisar fecha",IF(OR(E12&lt;&gt;INT(E12),E12&lt;DATE($B$4,1,1),E12&gt;DATE($B$4,12,31)),"Revisar fecha","OK")))</x:f>
      </x:c>
      <x:c r="H12" s="2"/>
    </x:row>
    <x:row r="13" ht="25" customHeight="1">
      <x:c r="A13" s="12" t="n">
        <x:f>IF($B$7&lt;&gt;"OK","",IF(YEAR(DATE($B$4,1,1)+3)=$B$4,DATE($B$4,1,1)+3,""))</x:f>
        <x:v>46391</x:v>
      </x:c>
      <x:c r="B13" s="2" t="n">
        <x:f>IF(A13="","",IF(AND(INDEX($B$6:$H$6,1,WEEKDAY(A13,2))=0,COUNTIF($E$10:$E$39,A13)=0),1,0))</x:f>
        <x:v>1</x:v>
      </x:c>
      <x:c r="C13" s="2" t="n">
        <x:f>IF(A13="","",IF($B$5="Naturales",1,B13))</x:f>
        <x:v>1</x:v>
      </x:c>
      <x:c r="D13" s="2"/>
      <x:c r="E13" s="11"/>
      <x:c r="F13" s="7"/>
      <x:c r="G13" s="8" t="str">
        <x:f>IF(E13="","",IF(NOT(ISNUMBER(E13)),"Revisar fecha",IF(OR(E13&lt;&gt;INT(E13),E13&lt;DATE($B$4,1,1),E13&gt;DATE($B$4,12,31)),"Revisar fecha","OK")))</x:f>
      </x:c>
      <x:c r="H13" s="2"/>
    </x:row>
    <x:row r="14" ht="25" customHeight="1">
      <x:c r="A14" s="12" t="n">
        <x:f>IF($B$7&lt;&gt;"OK","",IF(YEAR(DATE($B$4,1,1)+4)=$B$4,DATE($B$4,1,1)+4,""))</x:f>
        <x:v>46392</x:v>
      </x:c>
      <x:c r="B14" s="2" t="n">
        <x:f>IF(A14="","",IF(AND(INDEX($B$6:$H$6,1,WEEKDAY(A14,2))=0,COUNTIF($E$10:$E$39,A14)=0),1,0))</x:f>
        <x:v>1</x:v>
      </x:c>
      <x:c r="C14" s="2" t="n">
        <x:f>IF(A14="","",IF($B$5="Naturales",1,B14))</x:f>
        <x:v>1</x:v>
      </x:c>
      <x:c r="D14" s="2"/>
      <x:c r="E14" s="11"/>
      <x:c r="F14" s="7"/>
      <x:c r="G14" s="8" t="str">
        <x:f>IF(E14="","",IF(NOT(ISNUMBER(E14)),"Revisar fecha",IF(OR(E14&lt;&gt;INT(E14),E14&lt;DATE($B$4,1,1),E14&gt;DATE($B$4,12,31)),"Revisar fecha","OK")))</x:f>
      </x:c>
      <x:c r="H14" s="2"/>
    </x:row>
    <x:row r="15" ht="25" customHeight="1">
      <x:c r="A15" s="12" t="n">
        <x:f>IF($B$7&lt;&gt;"OK","",IF(YEAR(DATE($B$4,1,1)+5)=$B$4,DATE($B$4,1,1)+5,""))</x:f>
        <x:v>46393</x:v>
      </x:c>
      <x:c r="B15" s="2" t="n">
        <x:f>IF(A15="","",IF(AND(INDEX($B$6:$H$6,1,WEEKDAY(A15,2))=0,COUNTIF($E$10:$E$39,A15)=0),1,0))</x:f>
        <x:v>1</x:v>
      </x:c>
      <x:c r="C15" s="2" t="n">
        <x:f>IF(A15="","",IF($B$5="Naturales",1,B15))</x:f>
        <x:v>1</x:v>
      </x:c>
      <x:c r="D15" s="2"/>
      <x:c r="E15" s="11"/>
      <x:c r="F15" s="7"/>
      <x:c r="G15" s="8" t="str">
        <x:f>IF(E15="","",IF(NOT(ISNUMBER(E15)),"Revisar fecha",IF(OR(E15&lt;&gt;INT(E15),E15&lt;DATE($B$4,1,1),E15&gt;DATE($B$4,12,31)),"Revisar fecha","OK")))</x:f>
      </x:c>
      <x:c r="H15" s="2"/>
    </x:row>
    <x:row r="16" ht="25" customHeight="1">
      <x:c r="A16" s="12" t="n">
        <x:f>IF($B$7&lt;&gt;"OK","",IF(YEAR(DATE($B$4,1,1)+6)=$B$4,DATE($B$4,1,1)+6,""))</x:f>
        <x:v>46394</x:v>
      </x:c>
      <x:c r="B16" s="2" t="n">
        <x:f>IF(A16="","",IF(AND(INDEX($B$6:$H$6,1,WEEKDAY(A16,2))=0,COUNTIF($E$10:$E$39,A16)=0),1,0))</x:f>
        <x:v>1</x:v>
      </x:c>
      <x:c r="C16" s="2" t="n">
        <x:f>IF(A16="","",IF($B$5="Naturales",1,B16))</x:f>
        <x:v>1</x:v>
      </x:c>
      <x:c r="D16" s="2"/>
      <x:c r="E16" s="11"/>
      <x:c r="F16" s="7"/>
      <x:c r="G16" s="8" t="str">
        <x:f>IF(E16="","",IF(NOT(ISNUMBER(E16)),"Revisar fecha",IF(OR(E16&lt;&gt;INT(E16),E16&lt;DATE($B$4,1,1),E16&gt;DATE($B$4,12,31)),"Revisar fecha","OK")))</x:f>
      </x:c>
      <x:c r="H16" s="2"/>
    </x:row>
    <x:row r="17" ht="25" customHeight="1">
      <x:c r="A17" s="12" t="n">
        <x:f>IF($B$7&lt;&gt;"OK","",IF(YEAR(DATE($B$4,1,1)+7)=$B$4,DATE($B$4,1,1)+7,""))</x:f>
        <x:v>46395</x:v>
      </x:c>
      <x:c r="B17" s="2" t="n">
        <x:f>IF(A17="","",IF(AND(INDEX($B$6:$H$6,1,WEEKDAY(A17,2))=0,COUNTIF($E$10:$E$39,A17)=0),1,0))</x:f>
        <x:v>1</x:v>
      </x:c>
      <x:c r="C17" s="2" t="n">
        <x:f>IF(A17="","",IF($B$5="Naturales",1,B17))</x:f>
        <x:v>1</x:v>
      </x:c>
      <x:c r="D17" s="2"/>
      <x:c r="E17" s="11"/>
      <x:c r="F17" s="7"/>
      <x:c r="G17" s="8" t="str">
        <x:f>IF(E17="","",IF(NOT(ISNUMBER(E17)),"Revisar fecha",IF(OR(E17&lt;&gt;INT(E17),E17&lt;DATE($B$4,1,1),E17&gt;DATE($B$4,12,31)),"Revisar fecha","OK")))</x:f>
      </x:c>
      <x:c r="H17" s="2"/>
    </x:row>
    <x:row r="18" ht="25" customHeight="1">
      <x:c r="A18" s="12" t="n">
        <x:f>IF($B$7&lt;&gt;"OK","",IF(YEAR(DATE($B$4,1,1)+8)=$B$4,DATE($B$4,1,1)+8,""))</x:f>
        <x:v>46396</x:v>
      </x:c>
      <x:c r="B18" s="2" t="n">
        <x:f>IF(A18="","",IF(AND(INDEX($B$6:$H$6,1,WEEKDAY(A18,2))=0,COUNTIF($E$10:$E$39,A18)=0),1,0))</x:f>
        <x:v>0</x:v>
      </x:c>
      <x:c r="C18" s="2" t="n">
        <x:f>IF(A18="","",IF($B$5="Naturales",1,B18))</x:f>
        <x:v>0</x:v>
      </x:c>
      <x:c r="D18" s="2"/>
      <x:c r="E18" s="11"/>
      <x:c r="F18" s="7"/>
      <x:c r="G18" s="8" t="str">
        <x:f>IF(E18="","",IF(NOT(ISNUMBER(E18)),"Revisar fecha",IF(OR(E18&lt;&gt;INT(E18),E18&lt;DATE($B$4,1,1),E18&gt;DATE($B$4,12,31)),"Revisar fecha","OK")))</x:f>
      </x:c>
      <x:c r="H18" s="2"/>
    </x:row>
    <x:row r="19" ht="25" customHeight="1">
      <x:c r="A19" s="12" t="n">
        <x:f>IF($B$7&lt;&gt;"OK","",IF(YEAR(DATE($B$4,1,1)+9)=$B$4,DATE($B$4,1,1)+9,""))</x:f>
        <x:v>46397</x:v>
      </x:c>
      <x:c r="B19" s="2" t="n">
        <x:f>IF(A19="","",IF(AND(INDEX($B$6:$H$6,1,WEEKDAY(A19,2))=0,COUNTIF($E$10:$E$39,A19)=0),1,0))</x:f>
        <x:v>0</x:v>
      </x:c>
      <x:c r="C19" s="2" t="n">
        <x:f>IF(A19="","",IF($B$5="Naturales",1,B19))</x:f>
        <x:v>0</x:v>
      </x:c>
      <x:c r="D19" s="2"/>
      <x:c r="E19" s="11"/>
      <x:c r="F19" s="7"/>
      <x:c r="G19" s="8" t="str">
        <x:f>IF(E19="","",IF(NOT(ISNUMBER(E19)),"Revisar fecha",IF(OR(E19&lt;&gt;INT(E19),E19&lt;DATE($B$4,1,1),E19&gt;DATE($B$4,12,31)),"Revisar fecha","OK")))</x:f>
      </x:c>
      <x:c r="H19" s="2"/>
    </x:row>
    <x:row r="20" ht="25" customHeight="1">
      <x:c r="A20" s="12" t="n">
        <x:f>IF($B$7&lt;&gt;"OK","",IF(YEAR(DATE($B$4,1,1)+10)=$B$4,DATE($B$4,1,1)+10,""))</x:f>
        <x:v>46398</x:v>
      </x:c>
      <x:c r="B20" s="2" t="n">
        <x:f>IF(A20="","",IF(AND(INDEX($B$6:$H$6,1,WEEKDAY(A20,2))=0,COUNTIF($E$10:$E$39,A20)=0),1,0))</x:f>
        <x:v>1</x:v>
      </x:c>
      <x:c r="C20" s="2" t="n">
        <x:f>IF(A20="","",IF($B$5="Naturales",1,B20))</x:f>
        <x:v>1</x:v>
      </x:c>
      <x:c r="D20" s="2"/>
      <x:c r="E20" s="11"/>
      <x:c r="F20" s="7"/>
      <x:c r="G20" s="8" t="str">
        <x:f>IF(E20="","",IF(NOT(ISNUMBER(E20)),"Revisar fecha",IF(OR(E20&lt;&gt;INT(E20),E20&lt;DATE($B$4,1,1),E20&gt;DATE($B$4,12,31)),"Revisar fecha","OK")))</x:f>
      </x:c>
      <x:c r="H20" s="2"/>
    </x:row>
    <x:row r="21" ht="25" customHeight="1">
      <x:c r="A21" s="12" t="n">
        <x:f>IF($B$7&lt;&gt;"OK","",IF(YEAR(DATE($B$4,1,1)+11)=$B$4,DATE($B$4,1,1)+11,""))</x:f>
        <x:v>46399</x:v>
      </x:c>
      <x:c r="B21" s="2" t="n">
        <x:f>IF(A21="","",IF(AND(INDEX($B$6:$H$6,1,WEEKDAY(A21,2))=0,COUNTIF($E$10:$E$39,A21)=0),1,0))</x:f>
        <x:v>1</x:v>
      </x:c>
      <x:c r="C21" s="2" t="n">
        <x:f>IF(A21="","",IF($B$5="Naturales",1,B21))</x:f>
        <x:v>1</x:v>
      </x:c>
      <x:c r="D21" s="2"/>
      <x:c r="E21" s="11"/>
      <x:c r="F21" s="7"/>
      <x:c r="G21" s="8" t="str">
        <x:f>IF(E21="","",IF(NOT(ISNUMBER(E21)),"Revisar fecha",IF(OR(E21&lt;&gt;INT(E21),E21&lt;DATE($B$4,1,1),E21&gt;DATE($B$4,12,31)),"Revisar fecha","OK")))</x:f>
      </x:c>
      <x:c r="H21" s="2"/>
    </x:row>
    <x:row r="22" ht="25" customHeight="1">
      <x:c r="A22" s="12" t="n">
        <x:f>IF($B$7&lt;&gt;"OK","",IF(YEAR(DATE($B$4,1,1)+12)=$B$4,DATE($B$4,1,1)+12,""))</x:f>
        <x:v>46400</x:v>
      </x:c>
      <x:c r="B22" s="2" t="n">
        <x:f>IF(A22="","",IF(AND(INDEX($B$6:$H$6,1,WEEKDAY(A22,2))=0,COUNTIF($E$10:$E$39,A22)=0),1,0))</x:f>
        <x:v>1</x:v>
      </x:c>
      <x:c r="C22" s="2" t="n">
        <x:f>IF(A22="","",IF($B$5="Naturales",1,B22))</x:f>
        <x:v>1</x:v>
      </x:c>
      <x:c r="D22" s="2"/>
      <x:c r="E22" s="11"/>
      <x:c r="F22" s="7"/>
      <x:c r="G22" s="8" t="str">
        <x:f>IF(E22="","",IF(NOT(ISNUMBER(E22)),"Revisar fecha",IF(OR(E22&lt;&gt;INT(E22),E22&lt;DATE($B$4,1,1),E22&gt;DATE($B$4,12,31)),"Revisar fecha","OK")))</x:f>
      </x:c>
      <x:c r="H22" s="2"/>
    </x:row>
    <x:row r="23" ht="25" customHeight="1">
      <x:c r="A23" s="12" t="n">
        <x:f>IF($B$7&lt;&gt;"OK","",IF(YEAR(DATE($B$4,1,1)+13)=$B$4,DATE($B$4,1,1)+13,""))</x:f>
        <x:v>46401</x:v>
      </x:c>
      <x:c r="B23" s="2" t="n">
        <x:f>IF(A23="","",IF(AND(INDEX($B$6:$H$6,1,WEEKDAY(A23,2))=0,COUNTIF($E$10:$E$39,A23)=0),1,0))</x:f>
        <x:v>1</x:v>
      </x:c>
      <x:c r="C23" s="2" t="n">
        <x:f>IF(A23="","",IF($B$5="Naturales",1,B23))</x:f>
        <x:v>1</x:v>
      </x:c>
      <x:c r="D23" s="2"/>
      <x:c r="E23" s="11"/>
      <x:c r="F23" s="7"/>
      <x:c r="G23" s="8" t="str">
        <x:f>IF(E23="","",IF(NOT(ISNUMBER(E23)),"Revisar fecha",IF(OR(E23&lt;&gt;INT(E23),E23&lt;DATE($B$4,1,1),E23&gt;DATE($B$4,12,31)),"Revisar fecha","OK")))</x:f>
      </x:c>
      <x:c r="H23" s="2"/>
    </x:row>
    <x:row r="24" ht="25" customHeight="1">
      <x:c r="A24" s="12" t="n">
        <x:f>IF($B$7&lt;&gt;"OK","",IF(YEAR(DATE($B$4,1,1)+14)=$B$4,DATE($B$4,1,1)+14,""))</x:f>
        <x:v>46402</x:v>
      </x:c>
      <x:c r="B24" s="2" t="n">
        <x:f>IF(A24="","",IF(AND(INDEX($B$6:$H$6,1,WEEKDAY(A24,2))=0,COUNTIF($E$10:$E$39,A24)=0),1,0))</x:f>
        <x:v>1</x:v>
      </x:c>
      <x:c r="C24" s="2" t="n">
        <x:f>IF(A24="","",IF($B$5="Naturales",1,B24))</x:f>
        <x:v>1</x:v>
      </x:c>
      <x:c r="D24" s="2"/>
      <x:c r="E24" s="11"/>
      <x:c r="F24" s="7"/>
      <x:c r="G24" s="8" t="str">
        <x:f>IF(E24="","",IF(NOT(ISNUMBER(E24)),"Revisar fecha",IF(OR(E24&lt;&gt;INT(E24),E24&lt;DATE($B$4,1,1),E24&gt;DATE($B$4,12,31)),"Revisar fecha","OK")))</x:f>
      </x:c>
      <x:c r="H24" s="2"/>
    </x:row>
    <x:row r="25" ht="25" customHeight="1">
      <x:c r="A25" s="12" t="n">
        <x:f>IF($B$7&lt;&gt;"OK","",IF(YEAR(DATE($B$4,1,1)+15)=$B$4,DATE($B$4,1,1)+15,""))</x:f>
        <x:v>46403</x:v>
      </x:c>
      <x:c r="B25" s="2" t="n">
        <x:f>IF(A25="","",IF(AND(INDEX($B$6:$H$6,1,WEEKDAY(A25,2))=0,COUNTIF($E$10:$E$39,A25)=0),1,0))</x:f>
        <x:v>0</x:v>
      </x:c>
      <x:c r="C25" s="2" t="n">
        <x:f>IF(A25="","",IF($B$5="Naturales",1,B25))</x:f>
        <x:v>0</x:v>
      </x:c>
      <x:c r="D25" s="2"/>
      <x:c r="E25" s="11"/>
      <x:c r="F25" s="7"/>
      <x:c r="G25" s="8" t="str">
        <x:f>IF(E25="","",IF(NOT(ISNUMBER(E25)),"Revisar fecha",IF(OR(E25&lt;&gt;INT(E25),E25&lt;DATE($B$4,1,1),E25&gt;DATE($B$4,12,31)),"Revisar fecha","OK")))</x:f>
      </x:c>
      <x:c r="H25" s="2"/>
    </x:row>
    <x:row r="26" ht="25" customHeight="1">
      <x:c r="A26" s="12" t="n">
        <x:f>IF($B$7&lt;&gt;"OK","",IF(YEAR(DATE($B$4,1,1)+16)=$B$4,DATE($B$4,1,1)+16,""))</x:f>
        <x:v>46404</x:v>
      </x:c>
      <x:c r="B26" s="2" t="n">
        <x:f>IF(A26="","",IF(AND(INDEX($B$6:$H$6,1,WEEKDAY(A26,2))=0,COUNTIF($E$10:$E$39,A26)=0),1,0))</x:f>
        <x:v>0</x:v>
      </x:c>
      <x:c r="C26" s="2" t="n">
        <x:f>IF(A26="","",IF($B$5="Naturales",1,B26))</x:f>
        <x:v>0</x:v>
      </x:c>
      <x:c r="D26" s="2"/>
      <x:c r="E26" s="11"/>
      <x:c r="F26" s="7"/>
      <x:c r="G26" s="8" t="str">
        <x:f>IF(E26="","",IF(NOT(ISNUMBER(E26)),"Revisar fecha",IF(OR(E26&lt;&gt;INT(E26),E26&lt;DATE($B$4,1,1),E26&gt;DATE($B$4,12,31)),"Revisar fecha","OK")))</x:f>
      </x:c>
      <x:c r="H26" s="2"/>
    </x:row>
    <x:row r="27" ht="25" customHeight="1">
      <x:c r="A27" s="12" t="n">
        <x:f>IF($B$7&lt;&gt;"OK","",IF(YEAR(DATE($B$4,1,1)+17)=$B$4,DATE($B$4,1,1)+17,""))</x:f>
        <x:v>46405</x:v>
      </x:c>
      <x:c r="B27" s="2" t="n">
        <x:f>IF(A27="","",IF(AND(INDEX($B$6:$H$6,1,WEEKDAY(A27,2))=0,COUNTIF($E$10:$E$39,A27)=0),1,0))</x:f>
        <x:v>1</x:v>
      </x:c>
      <x:c r="C27" s="2" t="n">
        <x:f>IF(A27="","",IF($B$5="Naturales",1,B27))</x:f>
        <x:v>1</x:v>
      </x:c>
      <x:c r="D27" s="2"/>
      <x:c r="E27" s="11"/>
      <x:c r="F27" s="7"/>
      <x:c r="G27" s="8" t="str">
        <x:f>IF(E27="","",IF(NOT(ISNUMBER(E27)),"Revisar fecha",IF(OR(E27&lt;&gt;INT(E27),E27&lt;DATE($B$4,1,1),E27&gt;DATE($B$4,12,31)),"Revisar fecha","OK")))</x:f>
      </x:c>
      <x:c r="H27" s="2"/>
    </x:row>
    <x:row r="28" ht="25" customHeight="1">
      <x:c r="A28" s="12" t="n">
        <x:f>IF($B$7&lt;&gt;"OK","",IF(YEAR(DATE($B$4,1,1)+18)=$B$4,DATE($B$4,1,1)+18,""))</x:f>
        <x:v>46406</x:v>
      </x:c>
      <x:c r="B28" s="2" t="n">
        <x:f>IF(A28="","",IF(AND(INDEX($B$6:$H$6,1,WEEKDAY(A28,2))=0,COUNTIF($E$10:$E$39,A28)=0),1,0))</x:f>
        <x:v>1</x:v>
      </x:c>
      <x:c r="C28" s="2" t="n">
        <x:f>IF(A28="","",IF($B$5="Naturales",1,B28))</x:f>
        <x:v>1</x:v>
      </x:c>
      <x:c r="D28" s="2"/>
      <x:c r="E28" s="11"/>
      <x:c r="F28" s="7"/>
      <x:c r="G28" s="8" t="str">
        <x:f>IF(E28="","",IF(NOT(ISNUMBER(E28)),"Revisar fecha",IF(OR(E28&lt;&gt;INT(E28),E28&lt;DATE($B$4,1,1),E28&gt;DATE($B$4,12,31)),"Revisar fecha","OK")))</x:f>
      </x:c>
      <x:c r="H28" s="2"/>
    </x:row>
    <x:row r="29" ht="25" customHeight="1">
      <x:c r="A29" s="12" t="n">
        <x:f>IF($B$7&lt;&gt;"OK","",IF(YEAR(DATE($B$4,1,1)+19)=$B$4,DATE($B$4,1,1)+19,""))</x:f>
        <x:v>46407</x:v>
      </x:c>
      <x:c r="B29" s="2" t="n">
        <x:f>IF(A29="","",IF(AND(INDEX($B$6:$H$6,1,WEEKDAY(A29,2))=0,COUNTIF($E$10:$E$39,A29)=0),1,0))</x:f>
        <x:v>1</x:v>
      </x:c>
      <x:c r="C29" s="2" t="n">
        <x:f>IF(A29="","",IF($B$5="Naturales",1,B29))</x:f>
        <x:v>1</x:v>
      </x:c>
      <x:c r="D29" s="2"/>
      <x:c r="E29" s="11"/>
      <x:c r="F29" s="7"/>
      <x:c r="G29" s="8" t="str">
        <x:f>IF(E29="","",IF(NOT(ISNUMBER(E29)),"Revisar fecha",IF(OR(E29&lt;&gt;INT(E29),E29&lt;DATE($B$4,1,1),E29&gt;DATE($B$4,12,31)),"Revisar fecha","OK")))</x:f>
      </x:c>
      <x:c r="H29" s="2"/>
    </x:row>
    <x:row r="30" ht="25" customHeight="1">
      <x:c r="A30" s="12" t="n">
        <x:f>IF($B$7&lt;&gt;"OK","",IF(YEAR(DATE($B$4,1,1)+20)=$B$4,DATE($B$4,1,1)+20,""))</x:f>
        <x:v>46408</x:v>
      </x:c>
      <x:c r="B30" s="2" t="n">
        <x:f>IF(A30="","",IF(AND(INDEX($B$6:$H$6,1,WEEKDAY(A30,2))=0,COUNTIF($E$10:$E$39,A30)=0),1,0))</x:f>
        <x:v>1</x:v>
      </x:c>
      <x:c r="C30" s="2" t="n">
        <x:f>IF(A30="","",IF($B$5="Naturales",1,B30))</x:f>
        <x:v>1</x:v>
      </x:c>
      <x:c r="D30" s="2"/>
      <x:c r="E30" s="11"/>
      <x:c r="F30" s="7"/>
      <x:c r="G30" s="8" t="str">
        <x:f>IF(E30="","",IF(NOT(ISNUMBER(E30)),"Revisar fecha",IF(OR(E30&lt;&gt;INT(E30),E30&lt;DATE($B$4,1,1),E30&gt;DATE($B$4,12,31)),"Revisar fecha","OK")))</x:f>
      </x:c>
      <x:c r="H30" s="2"/>
    </x:row>
    <x:row r="31" ht="25" customHeight="1">
      <x:c r="A31" s="12" t="n">
        <x:f>IF($B$7&lt;&gt;"OK","",IF(YEAR(DATE($B$4,1,1)+21)=$B$4,DATE($B$4,1,1)+21,""))</x:f>
        <x:v>46409</x:v>
      </x:c>
      <x:c r="B31" s="2" t="n">
        <x:f>IF(A31="","",IF(AND(INDEX($B$6:$H$6,1,WEEKDAY(A31,2))=0,COUNTIF($E$10:$E$39,A31)=0),1,0))</x:f>
        <x:v>1</x:v>
      </x:c>
      <x:c r="C31" s="2" t="n">
        <x:f>IF(A31="","",IF($B$5="Naturales",1,B31))</x:f>
        <x:v>1</x:v>
      </x:c>
      <x:c r="D31" s="2"/>
      <x:c r="E31" s="11"/>
      <x:c r="F31" s="7"/>
      <x:c r="G31" s="8" t="str">
        <x:f>IF(E31="","",IF(NOT(ISNUMBER(E31)),"Revisar fecha",IF(OR(E31&lt;&gt;INT(E31),E31&lt;DATE($B$4,1,1),E31&gt;DATE($B$4,12,31)),"Revisar fecha","OK")))</x:f>
      </x:c>
      <x:c r="H31" s="2"/>
    </x:row>
    <x:row r="32" ht="25" customHeight="1">
      <x:c r="A32" s="12" t="n">
        <x:f>IF($B$7&lt;&gt;"OK","",IF(YEAR(DATE($B$4,1,1)+22)=$B$4,DATE($B$4,1,1)+22,""))</x:f>
        <x:v>46410</x:v>
      </x:c>
      <x:c r="B32" s="2" t="n">
        <x:f>IF(A32="","",IF(AND(INDEX($B$6:$H$6,1,WEEKDAY(A32,2))=0,COUNTIF($E$10:$E$39,A32)=0),1,0))</x:f>
        <x:v>0</x:v>
      </x:c>
      <x:c r="C32" s="2" t="n">
        <x:f>IF(A32="","",IF($B$5="Naturales",1,B32))</x:f>
        <x:v>0</x:v>
      </x:c>
      <x:c r="D32" s="2"/>
      <x:c r="E32" s="11"/>
      <x:c r="F32" s="7"/>
      <x:c r="G32" s="8" t="str">
        <x:f>IF(E32="","",IF(NOT(ISNUMBER(E32)),"Revisar fecha",IF(OR(E32&lt;&gt;INT(E32),E32&lt;DATE($B$4,1,1),E32&gt;DATE($B$4,12,31)),"Revisar fecha","OK")))</x:f>
      </x:c>
      <x:c r="H32" s="2"/>
    </x:row>
    <x:row r="33" ht="25" customHeight="1">
      <x:c r="A33" s="12" t="n">
        <x:f>IF($B$7&lt;&gt;"OK","",IF(YEAR(DATE($B$4,1,1)+23)=$B$4,DATE($B$4,1,1)+23,""))</x:f>
        <x:v>46411</x:v>
      </x:c>
      <x:c r="B33" s="2" t="n">
        <x:f>IF(A33="","",IF(AND(INDEX($B$6:$H$6,1,WEEKDAY(A33,2))=0,COUNTIF($E$10:$E$39,A33)=0),1,0))</x:f>
        <x:v>0</x:v>
      </x:c>
      <x:c r="C33" s="2" t="n">
        <x:f>IF(A33="","",IF($B$5="Naturales",1,B33))</x:f>
        <x:v>0</x:v>
      </x:c>
      <x:c r="D33" s="2"/>
      <x:c r="E33" s="11"/>
      <x:c r="F33" s="7"/>
      <x:c r="G33" s="8" t="str">
        <x:f>IF(E33="","",IF(NOT(ISNUMBER(E33)),"Revisar fecha",IF(OR(E33&lt;&gt;INT(E33),E33&lt;DATE($B$4,1,1),E33&gt;DATE($B$4,12,31)),"Revisar fecha","OK")))</x:f>
      </x:c>
      <x:c r="H33" s="2"/>
    </x:row>
    <x:row r="34" ht="25" customHeight="1">
      <x:c r="A34" s="12" t="n">
        <x:f>IF($B$7&lt;&gt;"OK","",IF(YEAR(DATE($B$4,1,1)+24)=$B$4,DATE($B$4,1,1)+24,""))</x:f>
        <x:v>46412</x:v>
      </x:c>
      <x:c r="B34" s="2" t="n">
        <x:f>IF(A34="","",IF(AND(INDEX($B$6:$H$6,1,WEEKDAY(A34,2))=0,COUNTIF($E$10:$E$39,A34)=0),1,0))</x:f>
        <x:v>1</x:v>
      </x:c>
      <x:c r="C34" s="2" t="n">
        <x:f>IF(A34="","",IF($B$5="Naturales",1,B34))</x:f>
        <x:v>1</x:v>
      </x:c>
      <x:c r="D34" s="2"/>
      <x:c r="E34" s="11"/>
      <x:c r="F34" s="7"/>
      <x:c r="G34" s="8" t="str">
        <x:f>IF(E34="","",IF(NOT(ISNUMBER(E34)),"Revisar fecha",IF(OR(E34&lt;&gt;INT(E34),E34&lt;DATE($B$4,1,1),E34&gt;DATE($B$4,12,31)),"Revisar fecha","OK")))</x:f>
      </x:c>
      <x:c r="H34" s="2"/>
    </x:row>
    <x:row r="35" ht="25" customHeight="1">
      <x:c r="A35" s="12" t="n">
        <x:f>IF($B$7&lt;&gt;"OK","",IF(YEAR(DATE($B$4,1,1)+25)=$B$4,DATE($B$4,1,1)+25,""))</x:f>
        <x:v>46413</x:v>
      </x:c>
      <x:c r="B35" s="2" t="n">
        <x:f>IF(A35="","",IF(AND(INDEX($B$6:$H$6,1,WEEKDAY(A35,2))=0,COUNTIF($E$10:$E$39,A35)=0),1,0))</x:f>
        <x:v>1</x:v>
      </x:c>
      <x:c r="C35" s="2" t="n">
        <x:f>IF(A35="","",IF($B$5="Naturales",1,B35))</x:f>
        <x:v>1</x:v>
      </x:c>
      <x:c r="D35" s="2"/>
      <x:c r="E35" s="11"/>
      <x:c r="F35" s="7"/>
      <x:c r="G35" s="8" t="str">
        <x:f>IF(E35="","",IF(NOT(ISNUMBER(E35)),"Revisar fecha",IF(OR(E35&lt;&gt;INT(E35),E35&lt;DATE($B$4,1,1),E35&gt;DATE($B$4,12,31)),"Revisar fecha","OK")))</x:f>
      </x:c>
      <x:c r="H35" s="2"/>
    </x:row>
    <x:row r="36" ht="25" customHeight="1">
      <x:c r="A36" s="12" t="n">
        <x:f>IF($B$7&lt;&gt;"OK","",IF(YEAR(DATE($B$4,1,1)+26)=$B$4,DATE($B$4,1,1)+26,""))</x:f>
        <x:v>46414</x:v>
      </x:c>
      <x:c r="B36" s="2" t="n">
        <x:f>IF(A36="","",IF(AND(INDEX($B$6:$H$6,1,WEEKDAY(A36,2))=0,COUNTIF($E$10:$E$39,A36)=0),1,0))</x:f>
        <x:v>1</x:v>
      </x:c>
      <x:c r="C36" s="2" t="n">
        <x:f>IF(A36="","",IF($B$5="Naturales",1,B36))</x:f>
        <x:v>1</x:v>
      </x:c>
      <x:c r="D36" s="2"/>
      <x:c r="E36" s="11"/>
      <x:c r="F36" s="7"/>
      <x:c r="G36" s="8" t="str">
        <x:f>IF(E36="","",IF(NOT(ISNUMBER(E36)),"Revisar fecha",IF(OR(E36&lt;&gt;INT(E36),E36&lt;DATE($B$4,1,1),E36&gt;DATE($B$4,12,31)),"Revisar fecha","OK")))</x:f>
      </x:c>
      <x:c r="H36" s="2"/>
    </x:row>
    <x:row r="37" ht="25" customHeight="1">
      <x:c r="A37" s="12" t="n">
        <x:f>IF($B$7&lt;&gt;"OK","",IF(YEAR(DATE($B$4,1,1)+27)=$B$4,DATE($B$4,1,1)+27,""))</x:f>
        <x:v>46415</x:v>
      </x:c>
      <x:c r="B37" s="2" t="n">
        <x:f>IF(A37="","",IF(AND(INDEX($B$6:$H$6,1,WEEKDAY(A37,2))=0,COUNTIF($E$10:$E$39,A37)=0),1,0))</x:f>
        <x:v>1</x:v>
      </x:c>
      <x:c r="C37" s="2" t="n">
        <x:f>IF(A37="","",IF($B$5="Naturales",1,B37))</x:f>
        <x:v>1</x:v>
      </x:c>
      <x:c r="D37" s="2"/>
      <x:c r="E37" s="11"/>
      <x:c r="F37" s="7"/>
      <x:c r="G37" s="8" t="str">
        <x:f>IF(E37="","",IF(NOT(ISNUMBER(E37)),"Revisar fecha",IF(OR(E37&lt;&gt;INT(E37),E37&lt;DATE($B$4,1,1),E37&gt;DATE($B$4,12,31)),"Revisar fecha","OK")))</x:f>
      </x:c>
      <x:c r="H37" s="2"/>
    </x:row>
    <x:row r="38" ht="25" customHeight="1">
      <x:c r="A38" s="12" t="n">
        <x:f>IF($B$7&lt;&gt;"OK","",IF(YEAR(DATE($B$4,1,1)+28)=$B$4,DATE($B$4,1,1)+28,""))</x:f>
        <x:v>46416</x:v>
      </x:c>
      <x:c r="B38" s="2" t="n">
        <x:f>IF(A38="","",IF(AND(INDEX($B$6:$H$6,1,WEEKDAY(A38,2))=0,COUNTIF($E$10:$E$39,A38)=0),1,0))</x:f>
        <x:v>1</x:v>
      </x:c>
      <x:c r="C38" s="2" t="n">
        <x:f>IF(A38="","",IF($B$5="Naturales",1,B38))</x:f>
        <x:v>1</x:v>
      </x:c>
      <x:c r="D38" s="2"/>
      <x:c r="E38" s="11"/>
      <x:c r="F38" s="7"/>
      <x:c r="G38" s="8" t="str">
        <x:f>IF(E38="","",IF(NOT(ISNUMBER(E38)),"Revisar fecha",IF(OR(E38&lt;&gt;INT(E38),E38&lt;DATE($B$4,1,1),E38&gt;DATE($B$4,12,31)),"Revisar fecha","OK")))</x:f>
      </x:c>
      <x:c r="H38" s="2"/>
    </x:row>
    <x:row r="39" ht="25" customHeight="1">
      <x:c r="A39" s="12" t="n">
        <x:f>IF($B$7&lt;&gt;"OK","",IF(YEAR(DATE($B$4,1,1)+29)=$B$4,DATE($B$4,1,1)+29,""))</x:f>
        <x:v>46417</x:v>
      </x:c>
      <x:c r="B39" s="2" t="n">
        <x:f>IF(A39="","",IF(AND(INDEX($B$6:$H$6,1,WEEKDAY(A39,2))=0,COUNTIF($E$10:$E$39,A39)=0),1,0))</x:f>
        <x:v>0</x:v>
      </x:c>
      <x:c r="C39" s="2" t="n">
        <x:f>IF(A39="","",IF($B$5="Naturales",1,B39))</x:f>
        <x:v>0</x:v>
      </x:c>
      <x:c r="D39" s="2"/>
      <x:c r="E39" s="11"/>
      <x:c r="F39" s="7"/>
      <x:c r="G39" s="8" t="str">
        <x:f>IF(E39="","",IF(NOT(ISNUMBER(E39)),"Revisar fecha",IF(OR(E39&lt;&gt;INT(E39),E39&lt;DATE($B$4,1,1),E39&gt;DATE($B$4,12,31)),"Revisar fecha","OK")))</x:f>
      </x:c>
      <x:c r="H39" s="2"/>
    </x:row>
    <x:row r="40" ht="25" customHeight="1">
      <x:c r="A40" s="12" t="n">
        <x:f>IF($B$7&lt;&gt;"OK","",IF(YEAR(DATE($B$4,1,1)+30)=$B$4,DATE($B$4,1,1)+30,""))</x:f>
        <x:v>46418</x:v>
      </x:c>
      <x:c r="B40" s="2" t="n">
        <x:f>IF(A40="","",IF(AND(INDEX($B$6:$H$6,1,WEEKDAY(A40,2))=0,COUNTIF($E$10:$E$39,A40)=0),1,0))</x:f>
        <x:v>0</x:v>
      </x:c>
      <x:c r="C40" s="2" t="n">
        <x:f>IF(A40="","",IF($B$5="Naturales",1,B40))</x:f>
        <x:v>0</x:v>
      </x:c>
      <x:c r="D40" s="2"/>
      <x:c r="E40" s="2"/>
      <x:c r="F40" s="2"/>
      <x:c r="G40" s="2"/>
      <x:c r="H40" s="2"/>
    </x:row>
    <x:row r="41" ht="25" customHeight="1">
      <x:c r="A41" s="12" t="n">
        <x:f>IF($B$7&lt;&gt;"OK","",IF(YEAR(DATE($B$4,1,1)+31)=$B$4,DATE($B$4,1,1)+31,""))</x:f>
        <x:v>46419</x:v>
      </x:c>
      <x:c r="B41" s="2" t="n">
        <x:f>IF(A41="","",IF(AND(INDEX($B$6:$H$6,1,WEEKDAY(A41,2))=0,COUNTIF($E$10:$E$39,A41)=0),1,0))</x:f>
        <x:v>1</x:v>
      </x:c>
      <x:c r="C41" s="2" t="n">
        <x:f>IF(A41="","",IF($B$5="Naturales",1,B41))</x:f>
        <x:v>1</x:v>
      </x:c>
      <x:c r="D41" s="2"/>
      <x:c r="E41" s="2"/>
      <x:c r="F41" s="2"/>
      <x:c r="G41" s="2"/>
      <x:c r="H41" s="2"/>
    </x:row>
    <x:row r="42" ht="25" customHeight="1">
      <x:c r="A42" s="12" t="n">
        <x:f>IF($B$7&lt;&gt;"OK","",IF(YEAR(DATE($B$4,1,1)+32)=$B$4,DATE($B$4,1,1)+32,""))</x:f>
        <x:v>46420</x:v>
      </x:c>
      <x:c r="B42" s="2" t="n">
        <x:f>IF(A42="","",IF(AND(INDEX($B$6:$H$6,1,WEEKDAY(A42,2))=0,COUNTIF($E$10:$E$39,A42)=0),1,0))</x:f>
        <x:v>1</x:v>
      </x:c>
      <x:c r="C42" s="2" t="n">
        <x:f>IF(A42="","",IF($B$5="Naturales",1,B42))</x:f>
        <x:v>1</x:v>
      </x:c>
      <x:c r="D42" s="2"/>
      <x:c r="E42" s="2"/>
      <x:c r="F42" s="2"/>
      <x:c r="G42" s="2"/>
      <x:c r="H42" s="2"/>
    </x:row>
    <x:row r="43" ht="25" customHeight="1">
      <x:c r="A43" s="12" t="n">
        <x:f>IF($B$7&lt;&gt;"OK","",IF(YEAR(DATE($B$4,1,1)+33)=$B$4,DATE($B$4,1,1)+33,""))</x:f>
        <x:v>46421</x:v>
      </x:c>
      <x:c r="B43" s="2" t="n">
        <x:f>IF(A43="","",IF(AND(INDEX($B$6:$H$6,1,WEEKDAY(A43,2))=0,COUNTIF($E$10:$E$39,A43)=0),1,0))</x:f>
        <x:v>0</x:v>
      </x:c>
      <x:c r="C43" s="2" t="n">
        <x:f>IF(A43="","",IF($B$5="Naturales",1,B43))</x:f>
        <x:v>0</x:v>
      </x:c>
      <x:c r="D43" s="2"/>
      <x:c r="E43" s="2"/>
      <x:c r="F43" s="2"/>
      <x:c r="G43" s="2"/>
      <x:c r="H43" s="2"/>
    </x:row>
    <x:row r="44" ht="25" customHeight="1">
      <x:c r="A44" s="12" t="n">
        <x:f>IF($B$7&lt;&gt;"OK","",IF(YEAR(DATE($B$4,1,1)+34)=$B$4,DATE($B$4,1,1)+34,""))</x:f>
        <x:v>46422</x:v>
      </x:c>
      <x:c r="B44" s="2" t="n">
        <x:f>IF(A44="","",IF(AND(INDEX($B$6:$H$6,1,WEEKDAY(A44,2))=0,COUNTIF($E$10:$E$39,A44)=0),1,0))</x:f>
        <x:v>1</x:v>
      </x:c>
      <x:c r="C44" s="2" t="n">
        <x:f>IF(A44="","",IF($B$5="Naturales",1,B44))</x:f>
        <x:v>1</x:v>
      </x:c>
      <x:c r="D44" s="2"/>
      <x:c r="E44" s="2"/>
      <x:c r="F44" s="2"/>
      <x:c r="G44" s="2"/>
      <x:c r="H44" s="2"/>
    </x:row>
    <x:row r="45" ht="25" customHeight="1">
      <x:c r="A45" s="12" t="n">
        <x:f>IF($B$7&lt;&gt;"OK","",IF(YEAR(DATE($B$4,1,1)+35)=$B$4,DATE($B$4,1,1)+35,""))</x:f>
        <x:v>46423</x:v>
      </x:c>
      <x:c r="B45" s="2" t="n">
        <x:f>IF(A45="","",IF(AND(INDEX($B$6:$H$6,1,WEEKDAY(A45,2))=0,COUNTIF($E$10:$E$39,A45)=0),1,0))</x:f>
        <x:v>1</x:v>
      </x:c>
      <x:c r="C45" s="2" t="n">
        <x:f>IF(A45="","",IF($B$5="Naturales",1,B45))</x:f>
        <x:v>1</x:v>
      </x:c>
      <x:c r="D45" s="2"/>
      <x:c r="E45" s="2"/>
      <x:c r="F45" s="2"/>
      <x:c r="G45" s="2"/>
      <x:c r="H45" s="2"/>
    </x:row>
    <x:row r="46" ht="25" customHeight="1">
      <x:c r="A46" s="12" t="n">
        <x:f>IF($B$7&lt;&gt;"OK","",IF(YEAR(DATE($B$4,1,1)+36)=$B$4,DATE($B$4,1,1)+36,""))</x:f>
        <x:v>46424</x:v>
      </x:c>
      <x:c r="B46" s="2" t="n">
        <x:f>IF(A46="","",IF(AND(INDEX($B$6:$H$6,1,WEEKDAY(A46,2))=0,COUNTIF($E$10:$E$39,A46)=0),1,0))</x:f>
        <x:v>0</x:v>
      </x:c>
      <x:c r="C46" s="2" t="n">
        <x:f>IF(A46="","",IF($B$5="Naturales",1,B46))</x:f>
        <x:v>0</x:v>
      </x:c>
      <x:c r="D46" s="2"/>
      <x:c r="E46" s="2"/>
      <x:c r="F46" s="2"/>
      <x:c r="G46" s="2"/>
      <x:c r="H46" s="2"/>
    </x:row>
    <x:row r="47" ht="25" customHeight="1">
      <x:c r="A47" s="12" t="n">
        <x:f>IF($B$7&lt;&gt;"OK","",IF(YEAR(DATE($B$4,1,1)+37)=$B$4,DATE($B$4,1,1)+37,""))</x:f>
        <x:v>46425</x:v>
      </x:c>
      <x:c r="B47" s="2" t="n">
        <x:f>IF(A47="","",IF(AND(INDEX($B$6:$H$6,1,WEEKDAY(A47,2))=0,COUNTIF($E$10:$E$39,A47)=0),1,0))</x:f>
        <x:v>0</x:v>
      </x:c>
      <x:c r="C47" s="2" t="n">
        <x:f>IF(A47="","",IF($B$5="Naturales",1,B47))</x:f>
        <x:v>0</x:v>
      </x:c>
      <x:c r="D47" s="2"/>
      <x:c r="E47" s="2"/>
      <x:c r="F47" s="2"/>
      <x:c r="G47" s="2"/>
      <x:c r="H47" s="2"/>
    </x:row>
    <x:row r="48" ht="25" customHeight="1">
      <x:c r="A48" s="12" t="n">
        <x:f>IF($B$7&lt;&gt;"OK","",IF(YEAR(DATE($B$4,1,1)+38)=$B$4,DATE($B$4,1,1)+38,""))</x:f>
        <x:v>46426</x:v>
      </x:c>
      <x:c r="B48" s="2" t="n">
        <x:f>IF(A48="","",IF(AND(INDEX($B$6:$H$6,1,WEEKDAY(A48,2))=0,COUNTIF($E$10:$E$39,A48)=0),1,0))</x:f>
        <x:v>1</x:v>
      </x:c>
      <x:c r="C48" s="2" t="n">
        <x:f>IF(A48="","",IF($B$5="Naturales",1,B48))</x:f>
        <x:v>1</x:v>
      </x:c>
      <x:c r="D48" s="2"/>
      <x:c r="E48" s="2"/>
      <x:c r="F48" s="2"/>
      <x:c r="G48" s="2"/>
      <x:c r="H48" s="2"/>
    </x:row>
    <x:row r="49" ht="25" customHeight="1">
      <x:c r="A49" s="12" t="n">
        <x:f>IF($B$7&lt;&gt;"OK","",IF(YEAR(DATE($B$4,1,1)+39)=$B$4,DATE($B$4,1,1)+39,""))</x:f>
        <x:v>46427</x:v>
      </x:c>
      <x:c r="B49" s="2" t="n">
        <x:f>IF(A49="","",IF(AND(INDEX($B$6:$H$6,1,WEEKDAY(A49,2))=0,COUNTIF($E$10:$E$39,A49)=0),1,0))</x:f>
        <x:v>1</x:v>
      </x:c>
      <x:c r="C49" s="2" t="n">
        <x:f>IF(A49="","",IF($B$5="Naturales",1,B49))</x:f>
        <x:v>1</x:v>
      </x:c>
      <x:c r="D49" s="2"/>
      <x:c r="E49" s="2"/>
      <x:c r="F49" s="2"/>
      <x:c r="G49" s="2"/>
      <x:c r="H49" s="2"/>
    </x:row>
    <x:row r="50" ht="25" customHeight="1">
      <x:c r="A50" s="12" t="n">
        <x:f>IF($B$7&lt;&gt;"OK","",IF(YEAR(DATE($B$4,1,1)+40)=$B$4,DATE($B$4,1,1)+40,""))</x:f>
        <x:v>46428</x:v>
      </x:c>
      <x:c r="B50" s="2" t="n">
        <x:f>IF(A50="","",IF(AND(INDEX($B$6:$H$6,1,WEEKDAY(A50,2))=0,COUNTIF($E$10:$E$39,A50)=0),1,0))</x:f>
        <x:v>1</x:v>
      </x:c>
      <x:c r="C50" s="2" t="n">
        <x:f>IF(A50="","",IF($B$5="Naturales",1,B50))</x:f>
        <x:v>1</x:v>
      </x:c>
      <x:c r="D50" s="2"/>
      <x:c r="E50" s="2"/>
      <x:c r="F50" s="2"/>
      <x:c r="G50" s="2"/>
      <x:c r="H50" s="2"/>
    </x:row>
    <x:row r="51" ht="25" customHeight="1">
      <x:c r="A51" s="12" t="n">
        <x:f>IF($B$7&lt;&gt;"OK","",IF(YEAR(DATE($B$4,1,1)+41)=$B$4,DATE($B$4,1,1)+41,""))</x:f>
        <x:v>46429</x:v>
      </x:c>
      <x:c r="B51" s="2" t="n">
        <x:f>IF(A51="","",IF(AND(INDEX($B$6:$H$6,1,WEEKDAY(A51,2))=0,COUNTIF($E$10:$E$39,A51)=0),1,0))</x:f>
        <x:v>1</x:v>
      </x:c>
      <x:c r="C51" s="2" t="n">
        <x:f>IF(A51="","",IF($B$5="Naturales",1,B51))</x:f>
        <x:v>1</x:v>
      </x:c>
      <x:c r="D51" s="2"/>
      <x:c r="E51" s="2"/>
      <x:c r="F51" s="2"/>
      <x:c r="G51" s="2"/>
      <x:c r="H51" s="2"/>
    </x:row>
    <x:row r="52" ht="25" customHeight="1">
      <x:c r="A52" s="12" t="n">
        <x:f>IF($B$7&lt;&gt;"OK","",IF(YEAR(DATE($B$4,1,1)+42)=$B$4,DATE($B$4,1,1)+42,""))</x:f>
        <x:v>46430</x:v>
      </x:c>
      <x:c r="B52" s="2" t="n">
        <x:f>IF(A52="","",IF(AND(INDEX($B$6:$H$6,1,WEEKDAY(A52,2))=0,COUNTIF($E$10:$E$39,A52)=0),1,0))</x:f>
        <x:v>1</x:v>
      </x:c>
      <x:c r="C52" s="2" t="n">
        <x:f>IF(A52="","",IF($B$5="Naturales",1,B52))</x:f>
        <x:v>1</x:v>
      </x:c>
      <x:c r="D52" s="2"/>
      <x:c r="E52" s="2"/>
      <x:c r="F52" s="2"/>
      <x:c r="G52" s="2"/>
      <x:c r="H52" s="2"/>
    </x:row>
    <x:row r="53" ht="25" customHeight="1">
      <x:c r="A53" s="12" t="n">
        <x:f>IF($B$7&lt;&gt;"OK","",IF(YEAR(DATE($B$4,1,1)+43)=$B$4,DATE($B$4,1,1)+43,""))</x:f>
        <x:v>46431</x:v>
      </x:c>
      <x:c r="B53" s="2" t="n">
        <x:f>IF(A53="","",IF(AND(INDEX($B$6:$H$6,1,WEEKDAY(A53,2))=0,COUNTIF($E$10:$E$39,A53)=0),1,0))</x:f>
        <x:v>0</x:v>
      </x:c>
      <x:c r="C53" s="2" t="n">
        <x:f>IF(A53="","",IF($B$5="Naturales",1,B53))</x:f>
        <x:v>0</x:v>
      </x:c>
      <x:c r="D53" s="2"/>
      <x:c r="E53" s="2"/>
      <x:c r="F53" s="2"/>
      <x:c r="G53" s="2"/>
      <x:c r="H53" s="2"/>
    </x:row>
    <x:row r="54" ht="25" customHeight="1">
      <x:c r="A54" s="12" t="n">
        <x:f>IF($B$7&lt;&gt;"OK","",IF(YEAR(DATE($B$4,1,1)+44)=$B$4,DATE($B$4,1,1)+44,""))</x:f>
        <x:v>46432</x:v>
      </x:c>
      <x:c r="B54" s="2" t="n">
        <x:f>IF(A54="","",IF(AND(INDEX($B$6:$H$6,1,WEEKDAY(A54,2))=0,COUNTIF($E$10:$E$39,A54)=0),1,0))</x:f>
        <x:v>0</x:v>
      </x:c>
      <x:c r="C54" s="2" t="n">
        <x:f>IF(A54="","",IF($B$5="Naturales",1,B54))</x:f>
        <x:v>0</x:v>
      </x:c>
      <x:c r="D54" s="2"/>
      <x:c r="E54" s="2"/>
      <x:c r="F54" s="2"/>
      <x:c r="G54" s="2"/>
      <x:c r="H54" s="2"/>
    </x:row>
    <x:row r="55" ht="25" customHeight="1">
      <x:c r="A55" s="12" t="n">
        <x:f>IF($B$7&lt;&gt;"OK","",IF(YEAR(DATE($B$4,1,1)+45)=$B$4,DATE($B$4,1,1)+45,""))</x:f>
        <x:v>46433</x:v>
      </x:c>
      <x:c r="B55" s="2" t="n">
        <x:f>IF(A55="","",IF(AND(INDEX($B$6:$H$6,1,WEEKDAY(A55,2))=0,COUNTIF($E$10:$E$39,A55)=0),1,0))</x:f>
        <x:v>1</x:v>
      </x:c>
      <x:c r="C55" s="2" t="n">
        <x:f>IF(A55="","",IF($B$5="Naturales",1,B55))</x:f>
        <x:v>1</x:v>
      </x:c>
      <x:c r="D55" s="2"/>
      <x:c r="E55" s="2"/>
      <x:c r="F55" s="2"/>
      <x:c r="G55" s="2"/>
      <x:c r="H55" s="2"/>
    </x:row>
    <x:row r="56" ht="25" customHeight="1">
      <x:c r="A56" s="12" t="n">
        <x:f>IF($B$7&lt;&gt;"OK","",IF(YEAR(DATE($B$4,1,1)+46)=$B$4,DATE($B$4,1,1)+46,""))</x:f>
        <x:v>46434</x:v>
      </x:c>
      <x:c r="B56" s="2" t="n">
        <x:f>IF(A56="","",IF(AND(INDEX($B$6:$H$6,1,WEEKDAY(A56,2))=0,COUNTIF($E$10:$E$39,A56)=0),1,0))</x:f>
        <x:v>1</x:v>
      </x:c>
      <x:c r="C56" s="2" t="n">
        <x:f>IF(A56="","",IF($B$5="Naturales",1,B56))</x:f>
        <x:v>1</x:v>
      </x:c>
      <x:c r="D56" s="2"/>
      <x:c r="E56" s="2"/>
      <x:c r="F56" s="2"/>
      <x:c r="G56" s="2"/>
      <x:c r="H56" s="2"/>
    </x:row>
    <x:row r="57" ht="25" customHeight="1">
      <x:c r="A57" s="12" t="n">
        <x:f>IF($B$7&lt;&gt;"OK","",IF(YEAR(DATE($B$4,1,1)+47)=$B$4,DATE($B$4,1,1)+47,""))</x:f>
        <x:v>46435</x:v>
      </x:c>
      <x:c r="B57" s="2" t="n">
        <x:f>IF(A57="","",IF(AND(INDEX($B$6:$H$6,1,WEEKDAY(A57,2))=0,COUNTIF($E$10:$E$39,A57)=0),1,0))</x:f>
        <x:v>1</x:v>
      </x:c>
      <x:c r="C57" s="2" t="n">
        <x:f>IF(A57="","",IF($B$5="Naturales",1,B57))</x:f>
        <x:v>1</x:v>
      </x:c>
      <x:c r="D57" s="2"/>
      <x:c r="E57" s="2"/>
      <x:c r="F57" s="2"/>
      <x:c r="G57" s="2"/>
      <x:c r="H57" s="2"/>
    </x:row>
    <x:row r="58" ht="25" customHeight="1">
      <x:c r="A58" s="12" t="n">
        <x:f>IF($B$7&lt;&gt;"OK","",IF(YEAR(DATE($B$4,1,1)+48)=$B$4,DATE($B$4,1,1)+48,""))</x:f>
        <x:v>46436</x:v>
      </x:c>
      <x:c r="B58" s="2" t="n">
        <x:f>IF(A58="","",IF(AND(INDEX($B$6:$H$6,1,WEEKDAY(A58,2))=0,COUNTIF($E$10:$E$39,A58)=0),1,0))</x:f>
        <x:v>1</x:v>
      </x:c>
      <x:c r="C58" s="2" t="n">
        <x:f>IF(A58="","",IF($B$5="Naturales",1,B58))</x:f>
        <x:v>1</x:v>
      </x:c>
      <x:c r="D58" s="2"/>
      <x:c r="E58" s="2"/>
      <x:c r="F58" s="2"/>
      <x:c r="G58" s="2"/>
      <x:c r="H58" s="2"/>
    </x:row>
    <x:row r="59" ht="25" customHeight="1">
      <x:c r="A59" s="12" t="n">
        <x:f>IF($B$7&lt;&gt;"OK","",IF(YEAR(DATE($B$4,1,1)+49)=$B$4,DATE($B$4,1,1)+49,""))</x:f>
        <x:v>46437</x:v>
      </x:c>
      <x:c r="B59" s="2" t="n">
        <x:f>IF(A59="","",IF(AND(INDEX($B$6:$H$6,1,WEEKDAY(A59,2))=0,COUNTIF($E$10:$E$39,A59)=0),1,0))</x:f>
        <x:v>1</x:v>
      </x:c>
      <x:c r="C59" s="2" t="n">
        <x:f>IF(A59="","",IF($B$5="Naturales",1,B59))</x:f>
        <x:v>1</x:v>
      </x:c>
      <x:c r="D59" s="2"/>
      <x:c r="E59" s="2"/>
      <x:c r="F59" s="2"/>
      <x:c r="G59" s="2"/>
      <x:c r="H59" s="2"/>
    </x:row>
    <x:row r="60" ht="25" customHeight="1">
      <x:c r="A60" s="12" t="n">
        <x:f>IF($B$7&lt;&gt;"OK","",IF(YEAR(DATE($B$4,1,1)+50)=$B$4,DATE($B$4,1,1)+50,""))</x:f>
        <x:v>46438</x:v>
      </x:c>
      <x:c r="B60" s="2" t="n">
        <x:f>IF(A60="","",IF(AND(INDEX($B$6:$H$6,1,WEEKDAY(A60,2))=0,COUNTIF($E$10:$E$39,A60)=0),1,0))</x:f>
        <x:v>0</x:v>
      </x:c>
      <x:c r="C60" s="2" t="n">
        <x:f>IF(A60="","",IF($B$5="Naturales",1,B60))</x:f>
        <x:v>0</x:v>
      </x:c>
      <x:c r="D60" s="2"/>
      <x:c r="E60" s="2"/>
      <x:c r="F60" s="2"/>
      <x:c r="G60" s="2"/>
      <x:c r="H60" s="2"/>
    </x:row>
    <x:row r="61" ht="25" customHeight="1">
      <x:c r="A61" s="12" t="n">
        <x:f>IF($B$7&lt;&gt;"OK","",IF(YEAR(DATE($B$4,1,1)+51)=$B$4,DATE($B$4,1,1)+51,""))</x:f>
        <x:v>46439</x:v>
      </x:c>
      <x:c r="B61" s="2" t="n">
        <x:f>IF(A61="","",IF(AND(INDEX($B$6:$H$6,1,WEEKDAY(A61,2))=0,COUNTIF($E$10:$E$39,A61)=0),1,0))</x:f>
        <x:v>0</x:v>
      </x:c>
      <x:c r="C61" s="2" t="n">
        <x:f>IF(A61="","",IF($B$5="Naturales",1,B61))</x:f>
        <x:v>0</x:v>
      </x:c>
      <x:c r="D61" s="2"/>
      <x:c r="E61" s="2"/>
      <x:c r="F61" s="2"/>
      <x:c r="G61" s="2"/>
      <x:c r="H61" s="2"/>
    </x:row>
    <x:row r="62" ht="25" customHeight="1">
      <x:c r="A62" s="12" t="n">
        <x:f>IF($B$7&lt;&gt;"OK","",IF(YEAR(DATE($B$4,1,1)+52)=$B$4,DATE($B$4,1,1)+52,""))</x:f>
        <x:v>46440</x:v>
      </x:c>
      <x:c r="B62" s="2" t="n">
        <x:f>IF(A62="","",IF(AND(INDEX($B$6:$H$6,1,WEEKDAY(A62,2))=0,COUNTIF($E$10:$E$39,A62)=0),1,0))</x:f>
        <x:v>1</x:v>
      </x:c>
      <x:c r="C62" s="2" t="n">
        <x:f>IF(A62="","",IF($B$5="Naturales",1,B62))</x:f>
        <x:v>1</x:v>
      </x:c>
      <x:c r="D62" s="2"/>
      <x:c r="E62" s="2"/>
      <x:c r="F62" s="2"/>
      <x:c r="G62" s="2"/>
      <x:c r="H62" s="2"/>
    </x:row>
    <x:row r="63" ht="25" customHeight="1">
      <x:c r="A63" s="12" t="n">
        <x:f>IF($B$7&lt;&gt;"OK","",IF(YEAR(DATE($B$4,1,1)+53)=$B$4,DATE($B$4,1,1)+53,""))</x:f>
        <x:v>46441</x:v>
      </x:c>
      <x:c r="B63" s="2" t="n">
        <x:f>IF(A63="","",IF(AND(INDEX($B$6:$H$6,1,WEEKDAY(A63,2))=0,COUNTIF($E$10:$E$39,A63)=0),1,0))</x:f>
        <x:v>1</x:v>
      </x:c>
      <x:c r="C63" s="2" t="n">
        <x:f>IF(A63="","",IF($B$5="Naturales",1,B63))</x:f>
        <x:v>1</x:v>
      </x:c>
      <x:c r="D63" s="2"/>
      <x:c r="E63" s="2"/>
      <x:c r="F63" s="2"/>
      <x:c r="G63" s="2"/>
      <x:c r="H63" s="2"/>
    </x:row>
    <x:row r="64" ht="25" customHeight="1">
      <x:c r="A64" s="12" t="n">
        <x:f>IF($B$7&lt;&gt;"OK","",IF(YEAR(DATE($B$4,1,1)+54)=$B$4,DATE($B$4,1,1)+54,""))</x:f>
        <x:v>46442</x:v>
      </x:c>
      <x:c r="B64" s="2" t="n">
        <x:f>IF(A64="","",IF(AND(INDEX($B$6:$H$6,1,WEEKDAY(A64,2))=0,COUNTIF($E$10:$E$39,A64)=0),1,0))</x:f>
        <x:v>1</x:v>
      </x:c>
      <x:c r="C64" s="2" t="n">
        <x:f>IF(A64="","",IF($B$5="Naturales",1,B64))</x:f>
        <x:v>1</x:v>
      </x:c>
      <x:c r="D64" s="2"/>
      <x:c r="E64" s="2"/>
      <x:c r="F64" s="2"/>
      <x:c r="G64" s="2"/>
      <x:c r="H64" s="2"/>
    </x:row>
    <x:row r="65" ht="25" customHeight="1">
      <x:c r="A65" s="12" t="n">
        <x:f>IF($B$7&lt;&gt;"OK","",IF(YEAR(DATE($B$4,1,1)+55)=$B$4,DATE($B$4,1,1)+55,""))</x:f>
        <x:v>46443</x:v>
      </x:c>
      <x:c r="B65" s="2" t="n">
        <x:f>IF(A65="","",IF(AND(INDEX($B$6:$H$6,1,WEEKDAY(A65,2))=0,COUNTIF($E$10:$E$39,A65)=0),1,0))</x:f>
        <x:v>1</x:v>
      </x:c>
      <x:c r="C65" s="2" t="n">
        <x:f>IF(A65="","",IF($B$5="Naturales",1,B65))</x:f>
        <x:v>1</x:v>
      </x:c>
      <x:c r="D65" s="2"/>
      <x:c r="E65" s="2"/>
      <x:c r="F65" s="2"/>
      <x:c r="G65" s="2"/>
      <x:c r="H65" s="2"/>
    </x:row>
    <x:row r="66" ht="25" customHeight="1">
      <x:c r="A66" s="12" t="n">
        <x:f>IF($B$7&lt;&gt;"OK","",IF(YEAR(DATE($B$4,1,1)+56)=$B$4,DATE($B$4,1,1)+56,""))</x:f>
        <x:v>46444</x:v>
      </x:c>
      <x:c r="B66" s="2" t="n">
        <x:f>IF(A66="","",IF(AND(INDEX($B$6:$H$6,1,WEEKDAY(A66,2))=0,COUNTIF($E$10:$E$39,A66)=0),1,0))</x:f>
        <x:v>1</x:v>
      </x:c>
      <x:c r="C66" s="2" t="n">
        <x:f>IF(A66="","",IF($B$5="Naturales",1,B66))</x:f>
        <x:v>1</x:v>
      </x:c>
      <x:c r="D66" s="2"/>
      <x:c r="E66" s="2"/>
      <x:c r="F66" s="2"/>
      <x:c r="G66" s="2"/>
      <x:c r="H66" s="2"/>
    </x:row>
    <x:row r="67" ht="25" customHeight="1">
      <x:c r="A67" s="12" t="n">
        <x:f>IF($B$7&lt;&gt;"OK","",IF(YEAR(DATE($B$4,1,1)+57)=$B$4,DATE($B$4,1,1)+57,""))</x:f>
        <x:v>46445</x:v>
      </x:c>
      <x:c r="B67" s="2" t="n">
        <x:f>IF(A67="","",IF(AND(INDEX($B$6:$H$6,1,WEEKDAY(A67,2))=0,COUNTIF($E$10:$E$39,A67)=0),1,0))</x:f>
        <x:v>0</x:v>
      </x:c>
      <x:c r="C67" s="2" t="n">
        <x:f>IF(A67="","",IF($B$5="Naturales",1,B67))</x:f>
        <x:v>0</x:v>
      </x:c>
      <x:c r="D67" s="2"/>
      <x:c r="E67" s="2"/>
      <x:c r="F67" s="2"/>
      <x:c r="G67" s="2"/>
      <x:c r="H67" s="2"/>
    </x:row>
    <x:row r="68" ht="25" customHeight="1">
      <x:c r="A68" s="12" t="n">
        <x:f>IF($B$7&lt;&gt;"OK","",IF(YEAR(DATE($B$4,1,1)+58)=$B$4,DATE($B$4,1,1)+58,""))</x:f>
        <x:v>46446</x:v>
      </x:c>
      <x:c r="B68" s="2" t="n">
        <x:f>IF(A68="","",IF(AND(INDEX($B$6:$H$6,1,WEEKDAY(A68,2))=0,COUNTIF($E$10:$E$39,A68)=0),1,0))</x:f>
        <x:v>0</x:v>
      </x:c>
      <x:c r="C68" s="2" t="n">
        <x:f>IF(A68="","",IF($B$5="Naturales",1,B68))</x:f>
        <x:v>0</x:v>
      </x:c>
      <x:c r="D68" s="2"/>
      <x:c r="E68" s="2"/>
      <x:c r="F68" s="2"/>
      <x:c r="G68" s="2"/>
      <x:c r="H68" s="2"/>
    </x:row>
    <x:row r="69" ht="25" customHeight="1">
      <x:c r="A69" s="12" t="n">
        <x:f>IF($B$7&lt;&gt;"OK","",IF(YEAR(DATE($B$4,1,1)+59)=$B$4,DATE($B$4,1,1)+59,""))</x:f>
        <x:v>46447</x:v>
      </x:c>
      <x:c r="B69" s="2" t="n">
        <x:f>IF(A69="","",IF(AND(INDEX($B$6:$H$6,1,WEEKDAY(A69,2))=0,COUNTIF($E$10:$E$39,A69)=0),1,0))</x:f>
        <x:v>1</x:v>
      </x:c>
      <x:c r="C69" s="2" t="n">
        <x:f>IF(A69="","",IF($B$5="Naturales",1,B69))</x:f>
        <x:v>1</x:v>
      </x:c>
      <x:c r="D69" s="2"/>
      <x:c r="E69" s="2"/>
      <x:c r="F69" s="2"/>
      <x:c r="G69" s="2"/>
      <x:c r="H69" s="2"/>
    </x:row>
    <x:row r="70" ht="25" customHeight="1">
      <x:c r="A70" s="12" t="n">
        <x:f>IF($B$7&lt;&gt;"OK","",IF(YEAR(DATE($B$4,1,1)+60)=$B$4,DATE($B$4,1,1)+60,""))</x:f>
        <x:v>46448</x:v>
      </x:c>
      <x:c r="B70" s="2" t="n">
        <x:f>IF(A70="","",IF(AND(INDEX($B$6:$H$6,1,WEEKDAY(A70,2))=0,COUNTIF($E$10:$E$39,A70)=0),1,0))</x:f>
        <x:v>1</x:v>
      </x:c>
      <x:c r="C70" s="2" t="n">
        <x:f>IF(A70="","",IF($B$5="Naturales",1,B70))</x:f>
        <x:v>1</x:v>
      </x:c>
      <x:c r="D70" s="2"/>
      <x:c r="E70" s="2"/>
      <x:c r="F70" s="2"/>
      <x:c r="G70" s="2"/>
      <x:c r="H70" s="2"/>
    </x:row>
    <x:row r="71" ht="25" customHeight="1">
      <x:c r="A71" s="12" t="n">
        <x:f>IF($B$7&lt;&gt;"OK","",IF(YEAR(DATE($B$4,1,1)+61)=$B$4,DATE($B$4,1,1)+61,""))</x:f>
        <x:v>46449</x:v>
      </x:c>
      <x:c r="B71" s="2" t="n">
        <x:f>IF(A71="","",IF(AND(INDEX($B$6:$H$6,1,WEEKDAY(A71,2))=0,COUNTIF($E$10:$E$39,A71)=0),1,0))</x:f>
        <x:v>1</x:v>
      </x:c>
      <x:c r="C71" s="2" t="n">
        <x:f>IF(A71="","",IF($B$5="Naturales",1,B71))</x:f>
        <x:v>1</x:v>
      </x:c>
      <x:c r="D71" s="2"/>
      <x:c r="E71" s="2"/>
      <x:c r="F71" s="2"/>
      <x:c r="G71" s="2"/>
      <x:c r="H71" s="2"/>
    </x:row>
    <x:row r="72" ht="25" customHeight="1">
      <x:c r="A72" s="12" t="n">
        <x:f>IF($B$7&lt;&gt;"OK","",IF(YEAR(DATE($B$4,1,1)+62)=$B$4,DATE($B$4,1,1)+62,""))</x:f>
        <x:v>46450</x:v>
      </x:c>
      <x:c r="B72" s="2" t="n">
        <x:f>IF(A72="","",IF(AND(INDEX($B$6:$H$6,1,WEEKDAY(A72,2))=0,COUNTIF($E$10:$E$39,A72)=0),1,0))</x:f>
        <x:v>1</x:v>
      </x:c>
      <x:c r="C72" s="2" t="n">
        <x:f>IF(A72="","",IF($B$5="Naturales",1,B72))</x:f>
        <x:v>1</x:v>
      </x:c>
      <x:c r="D72" s="2"/>
      <x:c r="E72" s="2"/>
      <x:c r="F72" s="2"/>
      <x:c r="G72" s="2"/>
      <x:c r="H72" s="2"/>
    </x:row>
    <x:row r="73" ht="25" customHeight="1">
      <x:c r="A73" s="12" t="n">
        <x:f>IF($B$7&lt;&gt;"OK","",IF(YEAR(DATE($B$4,1,1)+63)=$B$4,DATE($B$4,1,1)+63,""))</x:f>
        <x:v>46451</x:v>
      </x:c>
      <x:c r="B73" s="2" t="n">
        <x:f>IF(A73="","",IF(AND(INDEX($B$6:$H$6,1,WEEKDAY(A73,2))=0,COUNTIF($E$10:$E$39,A73)=0),1,0))</x:f>
        <x:v>1</x:v>
      </x:c>
      <x:c r="C73" s="2" t="n">
        <x:f>IF(A73="","",IF($B$5="Naturales",1,B73))</x:f>
        <x:v>1</x:v>
      </x:c>
      <x:c r="D73" s="2"/>
      <x:c r="E73" s="2"/>
      <x:c r="F73" s="2"/>
      <x:c r="G73" s="2"/>
      <x:c r="H73" s="2"/>
    </x:row>
    <x:row r="74" ht="25" customHeight="1">
      <x:c r="A74" s="12" t="n">
        <x:f>IF($B$7&lt;&gt;"OK","",IF(YEAR(DATE($B$4,1,1)+64)=$B$4,DATE($B$4,1,1)+64,""))</x:f>
        <x:v>46452</x:v>
      </x:c>
      <x:c r="B74" s="2" t="n">
        <x:f>IF(A74="","",IF(AND(INDEX($B$6:$H$6,1,WEEKDAY(A74,2))=0,COUNTIF($E$10:$E$39,A74)=0),1,0))</x:f>
        <x:v>0</x:v>
      </x:c>
      <x:c r="C74" s="2" t="n">
        <x:f>IF(A74="","",IF($B$5="Naturales",1,B74))</x:f>
        <x:v>0</x:v>
      </x:c>
      <x:c r="D74" s="2"/>
      <x:c r="E74" s="2"/>
      <x:c r="F74" s="2"/>
      <x:c r="G74" s="2"/>
      <x:c r="H74" s="2"/>
    </x:row>
    <x:row r="75" ht="25" customHeight="1">
      <x:c r="A75" s="12" t="n">
        <x:f>IF($B$7&lt;&gt;"OK","",IF(YEAR(DATE($B$4,1,1)+65)=$B$4,DATE($B$4,1,1)+65,""))</x:f>
        <x:v>46453</x:v>
      </x:c>
      <x:c r="B75" s="2" t="n">
        <x:f>IF(A75="","",IF(AND(INDEX($B$6:$H$6,1,WEEKDAY(A75,2))=0,COUNTIF($E$10:$E$39,A75)=0),1,0))</x:f>
        <x:v>0</x:v>
      </x:c>
      <x:c r="C75" s="2" t="n">
        <x:f>IF(A75="","",IF($B$5="Naturales",1,B75))</x:f>
        <x:v>0</x:v>
      </x:c>
      <x:c r="D75" s="2"/>
      <x:c r="E75" s="2"/>
      <x:c r="F75" s="2"/>
      <x:c r="G75" s="2"/>
      <x:c r="H75" s="2"/>
    </x:row>
    <x:row r="76" ht="25" customHeight="1">
      <x:c r="A76" s="12" t="n">
        <x:f>IF($B$7&lt;&gt;"OK","",IF(YEAR(DATE($B$4,1,1)+66)=$B$4,DATE($B$4,1,1)+66,""))</x:f>
        <x:v>46454</x:v>
      </x:c>
      <x:c r="B76" s="2" t="n">
        <x:f>IF(A76="","",IF(AND(INDEX($B$6:$H$6,1,WEEKDAY(A76,2))=0,COUNTIF($E$10:$E$39,A76)=0),1,0))</x:f>
        <x:v>1</x:v>
      </x:c>
      <x:c r="C76" s="2" t="n">
        <x:f>IF(A76="","",IF($B$5="Naturales",1,B76))</x:f>
        <x:v>1</x:v>
      </x:c>
      <x:c r="D76" s="2"/>
      <x:c r="E76" s="2"/>
      <x:c r="F76" s="2"/>
      <x:c r="G76" s="2"/>
      <x:c r="H76" s="2"/>
    </x:row>
    <x:row r="77" ht="25" customHeight="1">
      <x:c r="A77" s="12" t="n">
        <x:f>IF($B$7&lt;&gt;"OK","",IF(YEAR(DATE($B$4,1,1)+67)=$B$4,DATE($B$4,1,1)+67,""))</x:f>
        <x:v>46455</x:v>
      </x:c>
      <x:c r="B77" s="2" t="n">
        <x:f>IF(A77="","",IF(AND(INDEX($B$6:$H$6,1,WEEKDAY(A77,2))=0,COUNTIF($E$10:$E$39,A77)=0),1,0))</x:f>
        <x:v>1</x:v>
      </x:c>
      <x:c r="C77" s="2" t="n">
        <x:f>IF(A77="","",IF($B$5="Naturales",1,B77))</x:f>
        <x:v>1</x:v>
      </x:c>
      <x:c r="D77" s="2"/>
      <x:c r="E77" s="2"/>
      <x:c r="F77" s="2"/>
      <x:c r="G77" s="2"/>
      <x:c r="H77" s="2"/>
    </x:row>
    <x:row r="78" ht="25" customHeight="1">
      <x:c r="A78" s="12" t="n">
        <x:f>IF($B$7&lt;&gt;"OK","",IF(YEAR(DATE($B$4,1,1)+68)=$B$4,DATE($B$4,1,1)+68,""))</x:f>
        <x:v>46456</x:v>
      </x:c>
      <x:c r="B78" s="2" t="n">
        <x:f>IF(A78="","",IF(AND(INDEX($B$6:$H$6,1,WEEKDAY(A78,2))=0,COUNTIF($E$10:$E$39,A78)=0),1,0))</x:f>
        <x:v>1</x:v>
      </x:c>
      <x:c r="C78" s="2" t="n">
        <x:f>IF(A78="","",IF($B$5="Naturales",1,B78))</x:f>
        <x:v>1</x:v>
      </x:c>
      <x:c r="D78" s="2"/>
      <x:c r="E78" s="2"/>
      <x:c r="F78" s="2"/>
      <x:c r="G78" s="2"/>
      <x:c r="H78" s="2"/>
    </x:row>
    <x:row r="79" ht="25" customHeight="1">
      <x:c r="A79" s="12" t="n">
        <x:f>IF($B$7&lt;&gt;"OK","",IF(YEAR(DATE($B$4,1,1)+69)=$B$4,DATE($B$4,1,1)+69,""))</x:f>
        <x:v>46457</x:v>
      </x:c>
      <x:c r="B79" s="2" t="n">
        <x:f>IF(A79="","",IF(AND(INDEX($B$6:$H$6,1,WEEKDAY(A79,2))=0,COUNTIF($E$10:$E$39,A79)=0),1,0))</x:f>
        <x:v>1</x:v>
      </x:c>
      <x:c r="C79" s="2" t="n">
        <x:f>IF(A79="","",IF($B$5="Naturales",1,B79))</x:f>
        <x:v>1</x:v>
      </x:c>
      <x:c r="D79" s="2"/>
      <x:c r="E79" s="2"/>
      <x:c r="F79" s="2"/>
      <x:c r="G79" s="2"/>
      <x:c r="H79" s="2"/>
    </x:row>
    <x:row r="80" ht="25" customHeight="1">
      <x:c r="A80" s="12" t="n">
        <x:f>IF($B$7&lt;&gt;"OK","",IF(YEAR(DATE($B$4,1,1)+70)=$B$4,DATE($B$4,1,1)+70,""))</x:f>
        <x:v>46458</x:v>
      </x:c>
      <x:c r="B80" s="2" t="n">
        <x:f>IF(A80="","",IF(AND(INDEX($B$6:$H$6,1,WEEKDAY(A80,2))=0,COUNTIF($E$10:$E$39,A80)=0),1,0))</x:f>
        <x:v>1</x:v>
      </x:c>
      <x:c r="C80" s="2" t="n">
        <x:f>IF(A80="","",IF($B$5="Naturales",1,B80))</x:f>
        <x:v>1</x:v>
      </x:c>
      <x:c r="D80" s="2"/>
      <x:c r="E80" s="2"/>
      <x:c r="F80" s="2"/>
      <x:c r="G80" s="2"/>
      <x:c r="H80" s="2"/>
    </x:row>
    <x:row r="81" ht="25" customHeight="1">
      <x:c r="A81" s="12" t="n">
        <x:f>IF($B$7&lt;&gt;"OK","",IF(YEAR(DATE($B$4,1,1)+71)=$B$4,DATE($B$4,1,1)+71,""))</x:f>
        <x:v>46459</x:v>
      </x:c>
      <x:c r="B81" s="2" t="n">
        <x:f>IF(A81="","",IF(AND(INDEX($B$6:$H$6,1,WEEKDAY(A81,2))=0,COUNTIF($E$10:$E$39,A81)=0),1,0))</x:f>
        <x:v>0</x:v>
      </x:c>
      <x:c r="C81" s="2" t="n">
        <x:f>IF(A81="","",IF($B$5="Naturales",1,B81))</x:f>
        <x:v>0</x:v>
      </x:c>
      <x:c r="D81" s="2"/>
      <x:c r="E81" s="2"/>
      <x:c r="F81" s="2"/>
      <x:c r="G81" s="2"/>
      <x:c r="H81" s="2"/>
    </x:row>
    <x:row r="82" ht="25" customHeight="1">
      <x:c r="A82" s="12" t="n">
        <x:f>IF($B$7&lt;&gt;"OK","",IF(YEAR(DATE($B$4,1,1)+72)=$B$4,DATE($B$4,1,1)+72,""))</x:f>
        <x:v>46460</x:v>
      </x:c>
      <x:c r="B82" s="2" t="n">
        <x:f>IF(A82="","",IF(AND(INDEX($B$6:$H$6,1,WEEKDAY(A82,2))=0,COUNTIF($E$10:$E$39,A82)=0),1,0))</x:f>
        <x:v>0</x:v>
      </x:c>
      <x:c r="C82" s="2" t="n">
        <x:f>IF(A82="","",IF($B$5="Naturales",1,B82))</x:f>
        <x:v>0</x:v>
      </x:c>
      <x:c r="D82" s="2"/>
      <x:c r="E82" s="2"/>
      <x:c r="F82" s="2"/>
      <x:c r="G82" s="2"/>
      <x:c r="H82" s="2"/>
    </x:row>
    <x:row r="83" ht="25" customHeight="1">
      <x:c r="A83" s="12" t="n">
        <x:f>IF($B$7&lt;&gt;"OK","",IF(YEAR(DATE($B$4,1,1)+73)=$B$4,DATE($B$4,1,1)+73,""))</x:f>
        <x:v>46461</x:v>
      </x:c>
      <x:c r="B83" s="2" t="n">
        <x:f>IF(A83="","",IF(AND(INDEX($B$6:$H$6,1,WEEKDAY(A83,2))=0,COUNTIF($E$10:$E$39,A83)=0),1,0))</x:f>
        <x:v>1</x:v>
      </x:c>
      <x:c r="C83" s="2" t="n">
        <x:f>IF(A83="","",IF($B$5="Naturales",1,B83))</x:f>
        <x:v>1</x:v>
      </x:c>
      <x:c r="D83" s="2"/>
      <x:c r="E83" s="2"/>
      <x:c r="F83" s="2"/>
      <x:c r="G83" s="2"/>
      <x:c r="H83" s="2"/>
    </x:row>
    <x:row r="84" ht="25" customHeight="1">
      <x:c r="A84" s="12" t="n">
        <x:f>IF($B$7&lt;&gt;"OK","",IF(YEAR(DATE($B$4,1,1)+74)=$B$4,DATE($B$4,1,1)+74,""))</x:f>
        <x:v>46462</x:v>
      </x:c>
      <x:c r="B84" s="2" t="n">
        <x:f>IF(A84="","",IF(AND(INDEX($B$6:$H$6,1,WEEKDAY(A84,2))=0,COUNTIF($E$10:$E$39,A84)=0),1,0))</x:f>
        <x:v>1</x:v>
      </x:c>
      <x:c r="C84" s="2" t="n">
        <x:f>IF(A84="","",IF($B$5="Naturales",1,B84))</x:f>
        <x:v>1</x:v>
      </x:c>
      <x:c r="D84" s="2"/>
      <x:c r="E84" s="2"/>
      <x:c r="F84" s="2"/>
      <x:c r="G84" s="2"/>
      <x:c r="H84" s="2"/>
    </x:row>
    <x:row r="85" ht="25" customHeight="1">
      <x:c r="A85" s="12" t="n">
        <x:f>IF($B$7&lt;&gt;"OK","",IF(YEAR(DATE($B$4,1,1)+75)=$B$4,DATE($B$4,1,1)+75,""))</x:f>
        <x:v>46463</x:v>
      </x:c>
      <x:c r="B85" s="2" t="n">
        <x:f>IF(A85="","",IF(AND(INDEX($B$6:$H$6,1,WEEKDAY(A85,2))=0,COUNTIF($E$10:$E$39,A85)=0),1,0))</x:f>
        <x:v>1</x:v>
      </x:c>
      <x:c r="C85" s="2" t="n">
        <x:f>IF(A85="","",IF($B$5="Naturales",1,B85))</x:f>
        <x:v>1</x:v>
      </x:c>
      <x:c r="D85" s="2"/>
      <x:c r="E85" s="2"/>
      <x:c r="F85" s="2"/>
      <x:c r="G85" s="2"/>
      <x:c r="H85" s="2"/>
    </x:row>
    <x:row r="86" ht="25" customHeight="1">
      <x:c r="A86" s="12" t="n">
        <x:f>IF($B$7&lt;&gt;"OK","",IF(YEAR(DATE($B$4,1,1)+76)=$B$4,DATE($B$4,1,1)+76,""))</x:f>
        <x:v>46464</x:v>
      </x:c>
      <x:c r="B86" s="2" t="n">
        <x:f>IF(A86="","",IF(AND(INDEX($B$6:$H$6,1,WEEKDAY(A86,2))=0,COUNTIF($E$10:$E$39,A86)=0),1,0))</x:f>
        <x:v>1</x:v>
      </x:c>
      <x:c r="C86" s="2" t="n">
        <x:f>IF(A86="","",IF($B$5="Naturales",1,B86))</x:f>
        <x:v>1</x:v>
      </x:c>
      <x:c r="D86" s="2"/>
      <x:c r="E86" s="2"/>
      <x:c r="F86" s="2"/>
      <x:c r="G86" s="2"/>
      <x:c r="H86" s="2"/>
    </x:row>
    <x:row r="87" ht="25" customHeight="1">
      <x:c r="A87" s="12" t="n">
        <x:f>IF($B$7&lt;&gt;"OK","",IF(YEAR(DATE($B$4,1,1)+77)=$B$4,DATE($B$4,1,1)+77,""))</x:f>
        <x:v>46465</x:v>
      </x:c>
      <x:c r="B87" s="2" t="n">
        <x:f>IF(A87="","",IF(AND(INDEX($B$6:$H$6,1,WEEKDAY(A87,2))=0,COUNTIF($E$10:$E$39,A87)=0),1,0))</x:f>
        <x:v>1</x:v>
      </x:c>
      <x:c r="C87" s="2" t="n">
        <x:f>IF(A87="","",IF($B$5="Naturales",1,B87))</x:f>
        <x:v>1</x:v>
      </x:c>
      <x:c r="D87" s="2"/>
      <x:c r="E87" s="2"/>
      <x:c r="F87" s="2"/>
      <x:c r="G87" s="2"/>
      <x:c r="H87" s="2"/>
    </x:row>
    <x:row r="88" ht="25" customHeight="1">
      <x:c r="A88" s="12" t="n">
        <x:f>IF($B$7&lt;&gt;"OK","",IF(YEAR(DATE($B$4,1,1)+78)=$B$4,DATE($B$4,1,1)+78,""))</x:f>
        <x:v>46466</x:v>
      </x:c>
      <x:c r="B88" s="2" t="n">
        <x:f>IF(A88="","",IF(AND(INDEX($B$6:$H$6,1,WEEKDAY(A88,2))=0,COUNTIF($E$10:$E$39,A88)=0),1,0))</x:f>
        <x:v>0</x:v>
      </x:c>
      <x:c r="C88" s="2" t="n">
        <x:f>IF(A88="","",IF($B$5="Naturales",1,B88))</x:f>
        <x:v>0</x:v>
      </x:c>
      <x:c r="D88" s="2"/>
      <x:c r="E88" s="2"/>
      <x:c r="F88" s="2"/>
      <x:c r="G88" s="2"/>
      <x:c r="H88" s="2"/>
    </x:row>
    <x:row r="89" ht="25" customHeight="1">
      <x:c r="A89" s="12" t="n">
        <x:f>IF($B$7&lt;&gt;"OK","",IF(YEAR(DATE($B$4,1,1)+79)=$B$4,DATE($B$4,1,1)+79,""))</x:f>
        <x:v>46467</x:v>
      </x:c>
      <x:c r="B89" s="2" t="n">
        <x:f>IF(A89="","",IF(AND(INDEX($B$6:$H$6,1,WEEKDAY(A89,2))=0,COUNTIF($E$10:$E$39,A89)=0),1,0))</x:f>
        <x:v>0</x:v>
      </x:c>
      <x:c r="C89" s="2" t="n">
        <x:f>IF(A89="","",IF($B$5="Naturales",1,B89))</x:f>
        <x:v>0</x:v>
      </x:c>
      <x:c r="D89" s="2"/>
      <x:c r="E89" s="2"/>
      <x:c r="F89" s="2"/>
      <x:c r="G89" s="2"/>
      <x:c r="H89" s="2"/>
    </x:row>
    <x:row r="90" ht="25" customHeight="1">
      <x:c r="A90" s="12" t="n">
        <x:f>IF($B$7&lt;&gt;"OK","",IF(YEAR(DATE($B$4,1,1)+80)=$B$4,DATE($B$4,1,1)+80,""))</x:f>
        <x:v>46468</x:v>
      </x:c>
      <x:c r="B90" s="2" t="n">
        <x:f>IF(A90="","",IF(AND(INDEX($B$6:$H$6,1,WEEKDAY(A90,2))=0,COUNTIF($E$10:$E$39,A90)=0),1,0))</x:f>
        <x:v>1</x:v>
      </x:c>
      <x:c r="C90" s="2" t="n">
        <x:f>IF(A90="","",IF($B$5="Naturales",1,B90))</x:f>
        <x:v>1</x:v>
      </x:c>
      <x:c r="D90" s="2"/>
      <x:c r="E90" s="2"/>
      <x:c r="F90" s="2"/>
      <x:c r="G90" s="2"/>
      <x:c r="H90" s="2"/>
    </x:row>
    <x:row r="91" ht="25" customHeight="1">
      <x:c r="A91" s="12" t="n">
        <x:f>IF($B$7&lt;&gt;"OK","",IF(YEAR(DATE($B$4,1,1)+81)=$B$4,DATE($B$4,1,1)+81,""))</x:f>
        <x:v>46469</x:v>
      </x:c>
      <x:c r="B91" s="2" t="n">
        <x:f>IF(A91="","",IF(AND(INDEX($B$6:$H$6,1,WEEKDAY(A91,2))=0,COUNTIF($E$10:$E$39,A91)=0),1,0))</x:f>
        <x:v>1</x:v>
      </x:c>
      <x:c r="C91" s="2" t="n">
        <x:f>IF(A91="","",IF($B$5="Naturales",1,B91))</x:f>
        <x:v>1</x:v>
      </x:c>
      <x:c r="D91" s="2"/>
      <x:c r="E91" s="2"/>
      <x:c r="F91" s="2"/>
      <x:c r="G91" s="2"/>
      <x:c r="H91" s="2"/>
    </x:row>
    <x:row r="92" ht="25" customHeight="1">
      <x:c r="A92" s="12" t="n">
        <x:f>IF($B$7&lt;&gt;"OK","",IF(YEAR(DATE($B$4,1,1)+82)=$B$4,DATE($B$4,1,1)+82,""))</x:f>
        <x:v>46470</x:v>
      </x:c>
      <x:c r="B92" s="2" t="n">
        <x:f>IF(A92="","",IF(AND(INDEX($B$6:$H$6,1,WEEKDAY(A92,2))=0,COUNTIF($E$10:$E$39,A92)=0),1,0))</x:f>
        <x:v>1</x:v>
      </x:c>
      <x:c r="C92" s="2" t="n">
        <x:f>IF(A92="","",IF($B$5="Naturales",1,B92))</x:f>
        <x:v>1</x:v>
      </x:c>
      <x:c r="D92" s="2"/>
      <x:c r="E92" s="2"/>
      <x:c r="F92" s="2"/>
      <x:c r="G92" s="2"/>
      <x:c r="H92" s="2"/>
    </x:row>
    <x:row r="93" ht="25" customHeight="1">
      <x:c r="A93" s="12" t="n">
        <x:f>IF($B$7&lt;&gt;"OK","",IF(YEAR(DATE($B$4,1,1)+83)=$B$4,DATE($B$4,1,1)+83,""))</x:f>
        <x:v>46471</x:v>
      </x:c>
      <x:c r="B93" s="2" t="n">
        <x:f>IF(A93="","",IF(AND(INDEX($B$6:$H$6,1,WEEKDAY(A93,2))=0,COUNTIF($E$10:$E$39,A93)=0),1,0))</x:f>
        <x:v>1</x:v>
      </x:c>
      <x:c r="C93" s="2" t="n">
        <x:f>IF(A93="","",IF($B$5="Naturales",1,B93))</x:f>
        <x:v>1</x:v>
      </x:c>
      <x:c r="D93" s="2"/>
      <x:c r="E93" s="2"/>
      <x:c r="F93" s="2"/>
      <x:c r="G93" s="2"/>
      <x:c r="H93" s="2"/>
    </x:row>
    <x:row r="94" ht="25" customHeight="1">
      <x:c r="A94" s="12" t="n">
        <x:f>IF($B$7&lt;&gt;"OK","",IF(YEAR(DATE($B$4,1,1)+84)=$B$4,DATE($B$4,1,1)+84,""))</x:f>
        <x:v>46472</x:v>
      </x:c>
      <x:c r="B94" s="2" t="n">
        <x:f>IF(A94="","",IF(AND(INDEX($B$6:$H$6,1,WEEKDAY(A94,2))=0,COUNTIF($E$10:$E$39,A94)=0),1,0))</x:f>
        <x:v>1</x:v>
      </x:c>
      <x:c r="C94" s="2" t="n">
        <x:f>IF(A94="","",IF($B$5="Naturales",1,B94))</x:f>
        <x:v>1</x:v>
      </x:c>
      <x:c r="D94" s="2"/>
      <x:c r="E94" s="2"/>
      <x:c r="F94" s="2"/>
      <x:c r="G94" s="2"/>
      <x:c r="H94" s="2"/>
    </x:row>
    <x:row r="95" ht="25" customHeight="1">
      <x:c r="A95" s="12" t="n">
        <x:f>IF($B$7&lt;&gt;"OK","",IF(YEAR(DATE($B$4,1,1)+85)=$B$4,DATE($B$4,1,1)+85,""))</x:f>
        <x:v>46473</x:v>
      </x:c>
      <x:c r="B95" s="2" t="n">
        <x:f>IF(A95="","",IF(AND(INDEX($B$6:$H$6,1,WEEKDAY(A95,2))=0,COUNTIF($E$10:$E$39,A95)=0),1,0))</x:f>
        <x:v>0</x:v>
      </x:c>
      <x:c r="C95" s="2" t="n">
        <x:f>IF(A95="","",IF($B$5="Naturales",1,B95))</x:f>
        <x:v>0</x:v>
      </x:c>
      <x:c r="D95" s="2"/>
      <x:c r="E95" s="2"/>
      <x:c r="F95" s="2"/>
      <x:c r="G95" s="2"/>
      <x:c r="H95" s="2"/>
    </x:row>
    <x:row r="96" ht="25" customHeight="1">
      <x:c r="A96" s="12" t="n">
        <x:f>IF($B$7&lt;&gt;"OK","",IF(YEAR(DATE($B$4,1,1)+86)=$B$4,DATE($B$4,1,1)+86,""))</x:f>
        <x:v>46474</x:v>
      </x:c>
      <x:c r="B96" s="2" t="n">
        <x:f>IF(A96="","",IF(AND(INDEX($B$6:$H$6,1,WEEKDAY(A96,2))=0,COUNTIF($E$10:$E$39,A96)=0),1,0))</x:f>
        <x:v>0</x:v>
      </x:c>
      <x:c r="C96" s="2" t="n">
        <x:f>IF(A96="","",IF($B$5="Naturales",1,B96))</x:f>
        <x:v>0</x:v>
      </x:c>
      <x:c r="D96" s="2"/>
      <x:c r="E96" s="2"/>
      <x:c r="F96" s="2"/>
      <x:c r="G96" s="2"/>
      <x:c r="H96" s="2"/>
    </x:row>
    <x:row r="97" ht="25" customHeight="1">
      <x:c r="A97" s="12" t="n">
        <x:f>IF($B$7&lt;&gt;"OK","",IF(YEAR(DATE($B$4,1,1)+87)=$B$4,DATE($B$4,1,1)+87,""))</x:f>
        <x:v>46475</x:v>
      </x:c>
      <x:c r="B97" s="2" t="n">
        <x:f>IF(A97="","",IF(AND(INDEX($B$6:$H$6,1,WEEKDAY(A97,2))=0,COUNTIF($E$10:$E$39,A97)=0),1,0))</x:f>
        <x:v>1</x:v>
      </x:c>
      <x:c r="C97" s="2" t="n">
        <x:f>IF(A97="","",IF($B$5="Naturales",1,B97))</x:f>
        <x:v>1</x:v>
      </x:c>
      <x:c r="D97" s="2"/>
      <x:c r="E97" s="2"/>
      <x:c r="F97" s="2"/>
      <x:c r="G97" s="2"/>
      <x:c r="H97" s="2"/>
    </x:row>
    <x:row r="98" ht="25" customHeight="1">
      <x:c r="A98" s="12" t="n">
        <x:f>IF($B$7&lt;&gt;"OK","",IF(YEAR(DATE($B$4,1,1)+88)=$B$4,DATE($B$4,1,1)+88,""))</x:f>
        <x:v>46476</x:v>
      </x:c>
      <x:c r="B98" s="2" t="n">
        <x:f>IF(A98="","",IF(AND(INDEX($B$6:$H$6,1,WEEKDAY(A98,2))=0,COUNTIF($E$10:$E$39,A98)=0),1,0))</x:f>
        <x:v>1</x:v>
      </x:c>
      <x:c r="C98" s="2" t="n">
        <x:f>IF(A98="","",IF($B$5="Naturales",1,B98))</x:f>
        <x:v>1</x:v>
      </x:c>
      <x:c r="D98" s="2"/>
      <x:c r="E98" s="2"/>
      <x:c r="F98" s="2"/>
      <x:c r="G98" s="2"/>
      <x:c r="H98" s="2"/>
    </x:row>
    <x:row r="99" ht="25" customHeight="1">
      <x:c r="A99" s="12" t="n">
        <x:f>IF($B$7&lt;&gt;"OK","",IF(YEAR(DATE($B$4,1,1)+89)=$B$4,DATE($B$4,1,1)+89,""))</x:f>
        <x:v>46477</x:v>
      </x:c>
      <x:c r="B99" s="2" t="n">
        <x:f>IF(A99="","",IF(AND(INDEX($B$6:$H$6,1,WEEKDAY(A99,2))=0,COUNTIF($E$10:$E$39,A99)=0),1,0))</x:f>
        <x:v>1</x:v>
      </x:c>
      <x:c r="C99" s="2" t="n">
        <x:f>IF(A99="","",IF($B$5="Naturales",1,B99))</x:f>
        <x:v>1</x:v>
      </x:c>
      <x:c r="D99" s="2"/>
      <x:c r="E99" s="2"/>
      <x:c r="F99" s="2"/>
      <x:c r="G99" s="2"/>
      <x:c r="H99" s="2"/>
    </x:row>
    <x:row r="100" ht="25" customHeight="1">
      <x:c r="A100" s="12" t="n">
        <x:f>IF($B$7&lt;&gt;"OK","",IF(YEAR(DATE($B$4,1,1)+90)=$B$4,DATE($B$4,1,1)+90,""))</x:f>
        <x:v>46478</x:v>
      </x:c>
      <x:c r="B100" s="2" t="n">
        <x:f>IF(A100="","",IF(AND(INDEX($B$6:$H$6,1,WEEKDAY(A100,2))=0,COUNTIF($E$10:$E$39,A100)=0),1,0))</x:f>
        <x:v>1</x:v>
      </x:c>
      <x:c r="C100" s="2" t="n">
        <x:f>IF(A100="","",IF($B$5="Naturales",1,B100))</x:f>
        <x:v>1</x:v>
      </x:c>
      <x:c r="D100" s="2"/>
      <x:c r="E100" s="2"/>
      <x:c r="F100" s="2"/>
      <x:c r="G100" s="2"/>
      <x:c r="H100" s="2"/>
    </x:row>
    <x:row r="101" ht="25" customHeight="1">
      <x:c r="A101" s="12" t="n">
        <x:f>IF($B$7&lt;&gt;"OK","",IF(YEAR(DATE($B$4,1,1)+91)=$B$4,DATE($B$4,1,1)+91,""))</x:f>
        <x:v>46479</x:v>
      </x:c>
      <x:c r="B101" s="2" t="n">
        <x:f>IF(A101="","",IF(AND(INDEX($B$6:$H$6,1,WEEKDAY(A101,2))=0,COUNTIF($E$10:$E$39,A101)=0),1,0))</x:f>
        <x:v>1</x:v>
      </x:c>
      <x:c r="C101" s="2" t="n">
        <x:f>IF(A101="","",IF($B$5="Naturales",1,B101))</x:f>
        <x:v>1</x:v>
      </x:c>
      <x:c r="D101" s="2"/>
      <x:c r="E101" s="2"/>
      <x:c r="F101" s="2"/>
      <x:c r="G101" s="2"/>
      <x:c r="H101" s="2"/>
    </x:row>
    <x:row r="102" ht="25" customHeight="1">
      <x:c r="A102" s="12" t="n">
        <x:f>IF($B$7&lt;&gt;"OK","",IF(YEAR(DATE($B$4,1,1)+92)=$B$4,DATE($B$4,1,1)+92,""))</x:f>
        <x:v>46480</x:v>
      </x:c>
      <x:c r="B102" s="2" t="n">
        <x:f>IF(A102="","",IF(AND(INDEX($B$6:$H$6,1,WEEKDAY(A102,2))=0,COUNTIF($E$10:$E$39,A102)=0),1,0))</x:f>
        <x:v>0</x:v>
      </x:c>
      <x:c r="C102" s="2" t="n">
        <x:f>IF(A102="","",IF($B$5="Naturales",1,B102))</x:f>
        <x:v>0</x:v>
      </x:c>
      <x:c r="D102" s="2"/>
      <x:c r="E102" s="2"/>
      <x:c r="F102" s="2"/>
      <x:c r="G102" s="2"/>
      <x:c r="H102" s="2"/>
    </x:row>
    <x:row r="103" ht="25" customHeight="1">
      <x:c r="A103" s="12" t="n">
        <x:f>IF($B$7&lt;&gt;"OK","",IF(YEAR(DATE($B$4,1,1)+93)=$B$4,DATE($B$4,1,1)+93,""))</x:f>
        <x:v>46481</x:v>
      </x:c>
      <x:c r="B103" s="2" t="n">
        <x:f>IF(A103="","",IF(AND(INDEX($B$6:$H$6,1,WEEKDAY(A103,2))=0,COUNTIF($E$10:$E$39,A103)=0),1,0))</x:f>
        <x:v>0</x:v>
      </x:c>
      <x:c r="C103" s="2" t="n">
        <x:f>IF(A103="","",IF($B$5="Naturales",1,B103))</x:f>
        <x:v>0</x:v>
      </x:c>
      <x:c r="D103" s="2"/>
      <x:c r="E103" s="2"/>
      <x:c r="F103" s="2"/>
      <x:c r="G103" s="2"/>
      <x:c r="H103" s="2"/>
    </x:row>
    <x:row r="104" ht="25" customHeight="1">
      <x:c r="A104" s="12" t="n">
        <x:f>IF($B$7&lt;&gt;"OK","",IF(YEAR(DATE($B$4,1,1)+94)=$B$4,DATE($B$4,1,1)+94,""))</x:f>
        <x:v>46482</x:v>
      </x:c>
      <x:c r="B104" s="2" t="n">
        <x:f>IF(A104="","",IF(AND(INDEX($B$6:$H$6,1,WEEKDAY(A104,2))=0,COUNTIF($E$10:$E$39,A104)=0),1,0))</x:f>
        <x:v>1</x:v>
      </x:c>
      <x:c r="C104" s="2" t="n">
        <x:f>IF(A104="","",IF($B$5="Naturales",1,B104))</x:f>
        <x:v>1</x:v>
      </x:c>
      <x:c r="D104" s="2"/>
      <x:c r="E104" s="2"/>
      <x:c r="F104" s="2"/>
      <x:c r="G104" s="2"/>
      <x:c r="H104" s="2"/>
    </x:row>
    <x:row r="105" ht="25" customHeight="1">
      <x:c r="A105" s="12" t="n">
        <x:f>IF($B$7&lt;&gt;"OK","",IF(YEAR(DATE($B$4,1,1)+95)=$B$4,DATE($B$4,1,1)+95,""))</x:f>
        <x:v>46483</x:v>
      </x:c>
      <x:c r="B105" s="2" t="n">
        <x:f>IF(A105="","",IF(AND(INDEX($B$6:$H$6,1,WEEKDAY(A105,2))=0,COUNTIF($E$10:$E$39,A105)=0),1,0))</x:f>
        <x:v>1</x:v>
      </x:c>
      <x:c r="C105" s="2" t="n">
        <x:f>IF(A105="","",IF($B$5="Naturales",1,B105))</x:f>
        <x:v>1</x:v>
      </x:c>
      <x:c r="D105" s="2"/>
      <x:c r="E105" s="2"/>
      <x:c r="F105" s="2"/>
      <x:c r="G105" s="2"/>
      <x:c r="H105" s="2"/>
    </x:row>
    <x:row r="106" ht="25" customHeight="1">
      <x:c r="A106" s="12" t="n">
        <x:f>IF($B$7&lt;&gt;"OK","",IF(YEAR(DATE($B$4,1,1)+96)=$B$4,DATE($B$4,1,1)+96,""))</x:f>
        <x:v>46484</x:v>
      </x:c>
      <x:c r="B106" s="2" t="n">
        <x:f>IF(A106="","",IF(AND(INDEX($B$6:$H$6,1,WEEKDAY(A106,2))=0,COUNTIF($E$10:$E$39,A106)=0),1,0))</x:f>
        <x:v>1</x:v>
      </x:c>
      <x:c r="C106" s="2" t="n">
        <x:f>IF(A106="","",IF($B$5="Naturales",1,B106))</x:f>
        <x:v>1</x:v>
      </x:c>
      <x:c r="D106" s="2"/>
      <x:c r="E106" s="2"/>
      <x:c r="F106" s="2"/>
      <x:c r="G106" s="2"/>
      <x:c r="H106" s="2"/>
    </x:row>
    <x:row r="107" ht="25" customHeight="1">
      <x:c r="A107" s="12" t="n">
        <x:f>IF($B$7&lt;&gt;"OK","",IF(YEAR(DATE($B$4,1,1)+97)=$B$4,DATE($B$4,1,1)+97,""))</x:f>
        <x:v>46485</x:v>
      </x:c>
      <x:c r="B107" s="2" t="n">
        <x:f>IF(A107="","",IF(AND(INDEX($B$6:$H$6,1,WEEKDAY(A107,2))=0,COUNTIF($E$10:$E$39,A107)=0),1,0))</x:f>
        <x:v>1</x:v>
      </x:c>
      <x:c r="C107" s="2" t="n">
        <x:f>IF(A107="","",IF($B$5="Naturales",1,B107))</x:f>
        <x:v>1</x:v>
      </x:c>
      <x:c r="D107" s="2"/>
      <x:c r="E107" s="2"/>
      <x:c r="F107" s="2"/>
      <x:c r="G107" s="2"/>
      <x:c r="H107" s="2"/>
    </x:row>
    <x:row r="108" ht="25" customHeight="1">
      <x:c r="A108" s="12" t="n">
        <x:f>IF($B$7&lt;&gt;"OK","",IF(YEAR(DATE($B$4,1,1)+98)=$B$4,DATE($B$4,1,1)+98,""))</x:f>
        <x:v>46486</x:v>
      </x:c>
      <x:c r="B108" s="2" t="n">
        <x:f>IF(A108="","",IF(AND(INDEX($B$6:$H$6,1,WEEKDAY(A108,2))=0,COUNTIF($E$10:$E$39,A108)=0),1,0))</x:f>
        <x:v>1</x:v>
      </x:c>
      <x:c r="C108" s="2" t="n">
        <x:f>IF(A108="","",IF($B$5="Naturales",1,B108))</x:f>
        <x:v>1</x:v>
      </x:c>
      <x:c r="D108" s="2"/>
      <x:c r="E108" s="2"/>
      <x:c r="F108" s="2"/>
      <x:c r="G108" s="2"/>
      <x:c r="H108" s="2"/>
    </x:row>
    <x:row r="109" ht="25" customHeight="1">
      <x:c r="A109" s="12" t="n">
        <x:f>IF($B$7&lt;&gt;"OK","",IF(YEAR(DATE($B$4,1,1)+99)=$B$4,DATE($B$4,1,1)+99,""))</x:f>
        <x:v>46487</x:v>
      </x:c>
      <x:c r="B109" s="2" t="n">
        <x:f>IF(A109="","",IF(AND(INDEX($B$6:$H$6,1,WEEKDAY(A109,2))=0,COUNTIF($E$10:$E$39,A109)=0),1,0))</x:f>
        <x:v>0</x:v>
      </x:c>
      <x:c r="C109" s="2" t="n">
        <x:f>IF(A109="","",IF($B$5="Naturales",1,B109))</x:f>
        <x:v>0</x:v>
      </x:c>
      <x:c r="D109" s="2"/>
      <x:c r="E109" s="2"/>
      <x:c r="F109" s="2"/>
      <x:c r="G109" s="2"/>
      <x:c r="H109" s="2"/>
    </x:row>
    <x:row r="110" ht="25" customHeight="1">
      <x:c r="A110" s="12" t="n">
        <x:f>IF($B$7&lt;&gt;"OK","",IF(YEAR(DATE($B$4,1,1)+100)=$B$4,DATE($B$4,1,1)+100,""))</x:f>
        <x:v>46488</x:v>
      </x:c>
      <x:c r="B110" s="2" t="n">
        <x:f>IF(A110="","",IF(AND(INDEX($B$6:$H$6,1,WEEKDAY(A110,2))=0,COUNTIF($E$10:$E$39,A110)=0),1,0))</x:f>
        <x:v>0</x:v>
      </x:c>
      <x:c r="C110" s="2" t="n">
        <x:f>IF(A110="","",IF($B$5="Naturales",1,B110))</x:f>
        <x:v>0</x:v>
      </x:c>
      <x:c r="D110" s="2"/>
      <x:c r="E110" s="2"/>
      <x:c r="F110" s="2"/>
      <x:c r="G110" s="2"/>
      <x:c r="H110" s="2"/>
    </x:row>
    <x:row r="111" ht="25" customHeight="1">
      <x:c r="A111" s="12" t="n">
        <x:f>IF($B$7&lt;&gt;"OK","",IF(YEAR(DATE($B$4,1,1)+101)=$B$4,DATE($B$4,1,1)+101,""))</x:f>
        <x:v>46489</x:v>
      </x:c>
      <x:c r="B111" s="2" t="n">
        <x:f>IF(A111="","",IF(AND(INDEX($B$6:$H$6,1,WEEKDAY(A111,2))=0,COUNTIF($E$10:$E$39,A111)=0),1,0))</x:f>
        <x:v>1</x:v>
      </x:c>
      <x:c r="C111" s="2" t="n">
        <x:f>IF(A111="","",IF($B$5="Naturales",1,B111))</x:f>
        <x:v>1</x:v>
      </x:c>
      <x:c r="D111" s="2"/>
      <x:c r="E111" s="2"/>
      <x:c r="F111" s="2"/>
      <x:c r="G111" s="2"/>
      <x:c r="H111" s="2"/>
    </x:row>
    <x:row r="112" ht="25" customHeight="1">
      <x:c r="A112" s="12" t="n">
        <x:f>IF($B$7&lt;&gt;"OK","",IF(YEAR(DATE($B$4,1,1)+102)=$B$4,DATE($B$4,1,1)+102,""))</x:f>
        <x:v>46490</x:v>
      </x:c>
      <x:c r="B112" s="2" t="n">
        <x:f>IF(A112="","",IF(AND(INDEX($B$6:$H$6,1,WEEKDAY(A112,2))=0,COUNTIF($E$10:$E$39,A112)=0),1,0))</x:f>
        <x:v>1</x:v>
      </x:c>
      <x:c r="C112" s="2" t="n">
        <x:f>IF(A112="","",IF($B$5="Naturales",1,B112))</x:f>
        <x:v>1</x:v>
      </x:c>
      <x:c r="D112" s="2"/>
      <x:c r="E112" s="2"/>
      <x:c r="F112" s="2"/>
      <x:c r="G112" s="2"/>
      <x:c r="H112" s="2"/>
    </x:row>
    <x:row r="113" ht="25" customHeight="1">
      <x:c r="A113" s="12" t="n">
        <x:f>IF($B$7&lt;&gt;"OK","",IF(YEAR(DATE($B$4,1,1)+103)=$B$4,DATE($B$4,1,1)+103,""))</x:f>
        <x:v>46491</x:v>
      </x:c>
      <x:c r="B113" s="2" t="n">
        <x:f>IF(A113="","",IF(AND(INDEX($B$6:$H$6,1,WEEKDAY(A113,2))=0,COUNTIF($E$10:$E$39,A113)=0),1,0))</x:f>
        <x:v>1</x:v>
      </x:c>
      <x:c r="C113" s="2" t="n">
        <x:f>IF(A113="","",IF($B$5="Naturales",1,B113))</x:f>
        <x:v>1</x:v>
      </x:c>
      <x:c r="D113" s="2"/>
      <x:c r="E113" s="2"/>
      <x:c r="F113" s="2"/>
      <x:c r="G113" s="2"/>
      <x:c r="H113" s="2"/>
    </x:row>
    <x:row r="114" ht="25" customHeight="1">
      <x:c r="A114" s="12" t="n">
        <x:f>IF($B$7&lt;&gt;"OK","",IF(YEAR(DATE($B$4,1,1)+104)=$B$4,DATE($B$4,1,1)+104,""))</x:f>
        <x:v>46492</x:v>
      </x:c>
      <x:c r="B114" s="2" t="n">
        <x:f>IF(A114="","",IF(AND(INDEX($B$6:$H$6,1,WEEKDAY(A114,2))=0,COUNTIF($E$10:$E$39,A114)=0),1,0))</x:f>
        <x:v>1</x:v>
      </x:c>
      <x:c r="C114" s="2" t="n">
        <x:f>IF(A114="","",IF($B$5="Naturales",1,B114))</x:f>
        <x:v>1</x:v>
      </x:c>
      <x:c r="D114" s="2"/>
      <x:c r="E114" s="2"/>
      <x:c r="F114" s="2"/>
      <x:c r="G114" s="2"/>
      <x:c r="H114" s="2"/>
    </x:row>
    <x:row r="115" ht="25" customHeight="1">
      <x:c r="A115" s="12" t="n">
        <x:f>IF($B$7&lt;&gt;"OK","",IF(YEAR(DATE($B$4,1,1)+105)=$B$4,DATE($B$4,1,1)+105,""))</x:f>
        <x:v>46493</x:v>
      </x:c>
      <x:c r="B115" s="2" t="n">
        <x:f>IF(A115="","",IF(AND(INDEX($B$6:$H$6,1,WEEKDAY(A115,2))=0,COUNTIF($E$10:$E$39,A115)=0),1,0))</x:f>
        <x:v>1</x:v>
      </x:c>
      <x:c r="C115" s="2" t="n">
        <x:f>IF(A115="","",IF($B$5="Naturales",1,B115))</x:f>
        <x:v>1</x:v>
      </x:c>
      <x:c r="D115" s="2"/>
      <x:c r="E115" s="2"/>
      <x:c r="F115" s="2"/>
      <x:c r="G115" s="2"/>
      <x:c r="H115" s="2"/>
    </x:row>
    <x:row r="116" ht="25" customHeight="1">
      <x:c r="A116" s="12" t="n">
        <x:f>IF($B$7&lt;&gt;"OK","",IF(YEAR(DATE($B$4,1,1)+106)=$B$4,DATE($B$4,1,1)+106,""))</x:f>
        <x:v>46494</x:v>
      </x:c>
      <x:c r="B116" s="2" t="n">
        <x:f>IF(A116="","",IF(AND(INDEX($B$6:$H$6,1,WEEKDAY(A116,2))=0,COUNTIF($E$10:$E$39,A116)=0),1,0))</x:f>
        <x:v>0</x:v>
      </x:c>
      <x:c r="C116" s="2" t="n">
        <x:f>IF(A116="","",IF($B$5="Naturales",1,B116))</x:f>
        <x:v>0</x:v>
      </x:c>
      <x:c r="D116" s="2"/>
      <x:c r="E116" s="2"/>
      <x:c r="F116" s="2"/>
      <x:c r="G116" s="2"/>
      <x:c r="H116" s="2"/>
    </x:row>
    <x:row r="117" ht="25" customHeight="1">
      <x:c r="A117" s="12" t="n">
        <x:f>IF($B$7&lt;&gt;"OK","",IF(YEAR(DATE($B$4,1,1)+107)=$B$4,DATE($B$4,1,1)+107,""))</x:f>
        <x:v>46495</x:v>
      </x:c>
      <x:c r="B117" s="2" t="n">
        <x:f>IF(A117="","",IF(AND(INDEX($B$6:$H$6,1,WEEKDAY(A117,2))=0,COUNTIF($E$10:$E$39,A117)=0),1,0))</x:f>
        <x:v>0</x:v>
      </x:c>
      <x:c r="C117" s="2" t="n">
        <x:f>IF(A117="","",IF($B$5="Naturales",1,B117))</x:f>
        <x:v>0</x:v>
      </x:c>
      <x:c r="D117" s="2"/>
      <x:c r="E117" s="2"/>
      <x:c r="F117" s="2"/>
      <x:c r="G117" s="2"/>
      <x:c r="H117" s="2"/>
    </x:row>
    <x:row r="118" ht="25" customHeight="1">
      <x:c r="A118" s="12" t="n">
        <x:f>IF($B$7&lt;&gt;"OK","",IF(YEAR(DATE($B$4,1,1)+108)=$B$4,DATE($B$4,1,1)+108,""))</x:f>
        <x:v>46496</x:v>
      </x:c>
      <x:c r="B118" s="2" t="n">
        <x:f>IF(A118="","",IF(AND(INDEX($B$6:$H$6,1,WEEKDAY(A118,2))=0,COUNTIF($E$10:$E$39,A118)=0),1,0))</x:f>
        <x:v>1</x:v>
      </x:c>
      <x:c r="C118" s="2" t="n">
        <x:f>IF(A118="","",IF($B$5="Naturales",1,B118))</x:f>
        <x:v>1</x:v>
      </x:c>
      <x:c r="D118" s="2"/>
      <x:c r="E118" s="2"/>
      <x:c r="F118" s="2"/>
      <x:c r="G118" s="2"/>
      <x:c r="H118" s="2"/>
    </x:row>
    <x:row r="119" ht="25" customHeight="1">
      <x:c r="A119" s="12" t="n">
        <x:f>IF($B$7&lt;&gt;"OK","",IF(YEAR(DATE($B$4,1,1)+109)=$B$4,DATE($B$4,1,1)+109,""))</x:f>
        <x:v>46497</x:v>
      </x:c>
      <x:c r="B119" s="2" t="n">
        <x:f>IF(A119="","",IF(AND(INDEX($B$6:$H$6,1,WEEKDAY(A119,2))=0,COUNTIF($E$10:$E$39,A119)=0),1,0))</x:f>
        <x:v>1</x:v>
      </x:c>
      <x:c r="C119" s="2" t="n">
        <x:f>IF(A119="","",IF($B$5="Naturales",1,B119))</x:f>
        <x:v>1</x:v>
      </x:c>
      <x:c r="D119" s="2"/>
      <x:c r="E119" s="2"/>
      <x:c r="F119" s="2"/>
      <x:c r="G119" s="2"/>
      <x:c r="H119" s="2"/>
    </x:row>
    <x:row r="120" ht="25" customHeight="1">
      <x:c r="A120" s="12" t="n">
        <x:f>IF($B$7&lt;&gt;"OK","",IF(YEAR(DATE($B$4,1,1)+110)=$B$4,DATE($B$4,1,1)+110,""))</x:f>
        <x:v>46498</x:v>
      </x:c>
      <x:c r="B120" s="2" t="n">
        <x:f>IF(A120="","",IF(AND(INDEX($B$6:$H$6,1,WEEKDAY(A120,2))=0,COUNTIF($E$10:$E$39,A120)=0),1,0))</x:f>
        <x:v>1</x:v>
      </x:c>
      <x:c r="C120" s="2" t="n">
        <x:f>IF(A120="","",IF($B$5="Naturales",1,B120))</x:f>
        <x:v>1</x:v>
      </x:c>
      <x:c r="D120" s="2"/>
      <x:c r="E120" s="2"/>
      <x:c r="F120" s="2"/>
      <x:c r="G120" s="2"/>
      <x:c r="H120" s="2"/>
    </x:row>
    <x:row r="121" ht="25" customHeight="1">
      <x:c r="A121" s="12" t="n">
        <x:f>IF($B$7&lt;&gt;"OK","",IF(YEAR(DATE($B$4,1,1)+111)=$B$4,DATE($B$4,1,1)+111,""))</x:f>
        <x:v>46499</x:v>
      </x:c>
      <x:c r="B121" s="2" t="n">
        <x:f>IF(A121="","",IF(AND(INDEX($B$6:$H$6,1,WEEKDAY(A121,2))=0,COUNTIF($E$10:$E$39,A121)=0),1,0))</x:f>
        <x:v>1</x:v>
      </x:c>
      <x:c r="C121" s="2" t="n">
        <x:f>IF(A121="","",IF($B$5="Naturales",1,B121))</x:f>
        <x:v>1</x:v>
      </x:c>
      <x:c r="D121" s="2"/>
      <x:c r="E121" s="2"/>
      <x:c r="F121" s="2"/>
      <x:c r="G121" s="2"/>
      <x:c r="H121" s="2"/>
    </x:row>
    <x:row r="122" ht="25" customHeight="1">
      <x:c r="A122" s="12" t="n">
        <x:f>IF($B$7&lt;&gt;"OK","",IF(YEAR(DATE($B$4,1,1)+112)=$B$4,DATE($B$4,1,1)+112,""))</x:f>
        <x:v>46500</x:v>
      </x:c>
      <x:c r="B122" s="2" t="n">
        <x:f>IF(A122="","",IF(AND(INDEX($B$6:$H$6,1,WEEKDAY(A122,2))=0,COUNTIF($E$10:$E$39,A122)=0),1,0))</x:f>
        <x:v>1</x:v>
      </x:c>
      <x:c r="C122" s="2" t="n">
        <x:f>IF(A122="","",IF($B$5="Naturales",1,B122))</x:f>
        <x:v>1</x:v>
      </x:c>
      <x:c r="D122" s="2"/>
      <x:c r="E122" s="2"/>
      <x:c r="F122" s="2"/>
      <x:c r="G122" s="2"/>
      <x:c r="H122" s="2"/>
    </x:row>
    <x:row r="123" ht="25" customHeight="1">
      <x:c r="A123" s="12" t="n">
        <x:f>IF($B$7&lt;&gt;"OK","",IF(YEAR(DATE($B$4,1,1)+113)=$B$4,DATE($B$4,1,1)+113,""))</x:f>
        <x:v>46501</x:v>
      </x:c>
      <x:c r="B123" s="2" t="n">
        <x:f>IF(A123="","",IF(AND(INDEX($B$6:$H$6,1,WEEKDAY(A123,2))=0,COUNTIF($E$10:$E$39,A123)=0),1,0))</x:f>
        <x:v>0</x:v>
      </x:c>
      <x:c r="C123" s="2" t="n">
        <x:f>IF(A123="","",IF($B$5="Naturales",1,B123))</x:f>
        <x:v>0</x:v>
      </x:c>
      <x:c r="D123" s="2"/>
      <x:c r="E123" s="2"/>
      <x:c r="F123" s="2"/>
      <x:c r="G123" s="2"/>
      <x:c r="H123" s="2"/>
    </x:row>
    <x:row r="124" ht="25" customHeight="1">
      <x:c r="A124" s="12" t="n">
        <x:f>IF($B$7&lt;&gt;"OK","",IF(YEAR(DATE($B$4,1,1)+114)=$B$4,DATE($B$4,1,1)+114,""))</x:f>
        <x:v>46502</x:v>
      </x:c>
      <x:c r="B124" s="2" t="n">
        <x:f>IF(A124="","",IF(AND(INDEX($B$6:$H$6,1,WEEKDAY(A124,2))=0,COUNTIF($E$10:$E$39,A124)=0),1,0))</x:f>
        <x:v>0</x:v>
      </x:c>
      <x:c r="C124" s="2" t="n">
        <x:f>IF(A124="","",IF($B$5="Naturales",1,B124))</x:f>
        <x:v>0</x:v>
      </x:c>
      <x:c r="D124" s="2"/>
      <x:c r="E124" s="2"/>
      <x:c r="F124" s="2"/>
      <x:c r="G124" s="2"/>
      <x:c r="H124" s="2"/>
    </x:row>
    <x:row r="125" ht="25" customHeight="1">
      <x:c r="A125" s="12" t="n">
        <x:f>IF($B$7&lt;&gt;"OK","",IF(YEAR(DATE($B$4,1,1)+115)=$B$4,DATE($B$4,1,1)+115,""))</x:f>
        <x:v>46503</x:v>
      </x:c>
      <x:c r="B125" s="2" t="n">
        <x:f>IF(A125="","",IF(AND(INDEX($B$6:$H$6,1,WEEKDAY(A125,2))=0,COUNTIF($E$10:$E$39,A125)=0),1,0))</x:f>
        <x:v>1</x:v>
      </x:c>
      <x:c r="C125" s="2" t="n">
        <x:f>IF(A125="","",IF($B$5="Naturales",1,B125))</x:f>
        <x:v>1</x:v>
      </x:c>
      <x:c r="D125" s="2"/>
      <x:c r="E125" s="2"/>
      <x:c r="F125" s="2"/>
      <x:c r="G125" s="2"/>
      <x:c r="H125" s="2"/>
    </x:row>
    <x:row r="126" ht="25" customHeight="1">
      <x:c r="A126" s="12" t="n">
        <x:f>IF($B$7&lt;&gt;"OK","",IF(YEAR(DATE($B$4,1,1)+116)=$B$4,DATE($B$4,1,1)+116,""))</x:f>
        <x:v>46504</x:v>
      </x:c>
      <x:c r="B126" s="2" t="n">
        <x:f>IF(A126="","",IF(AND(INDEX($B$6:$H$6,1,WEEKDAY(A126,2))=0,COUNTIF($E$10:$E$39,A126)=0),1,0))</x:f>
        <x:v>1</x:v>
      </x:c>
      <x:c r="C126" s="2" t="n">
        <x:f>IF(A126="","",IF($B$5="Naturales",1,B126))</x:f>
        <x:v>1</x:v>
      </x:c>
      <x:c r="D126" s="2"/>
      <x:c r="E126" s="2"/>
      <x:c r="F126" s="2"/>
      <x:c r="G126" s="2"/>
      <x:c r="H126" s="2"/>
    </x:row>
    <x:row r="127" ht="25" customHeight="1">
      <x:c r="A127" s="12" t="n">
        <x:f>IF($B$7&lt;&gt;"OK","",IF(YEAR(DATE($B$4,1,1)+117)=$B$4,DATE($B$4,1,1)+117,""))</x:f>
        <x:v>46505</x:v>
      </x:c>
      <x:c r="B127" s="2" t="n">
        <x:f>IF(A127="","",IF(AND(INDEX($B$6:$H$6,1,WEEKDAY(A127,2))=0,COUNTIF($E$10:$E$39,A127)=0),1,0))</x:f>
        <x:v>1</x:v>
      </x:c>
      <x:c r="C127" s="2" t="n">
        <x:f>IF(A127="","",IF($B$5="Naturales",1,B127))</x:f>
        <x:v>1</x:v>
      </x:c>
      <x:c r="D127" s="2"/>
      <x:c r="E127" s="2"/>
      <x:c r="F127" s="2"/>
      <x:c r="G127" s="2"/>
      <x:c r="H127" s="2"/>
    </x:row>
    <x:row r="128" ht="25" customHeight="1">
      <x:c r="A128" s="12" t="n">
        <x:f>IF($B$7&lt;&gt;"OK","",IF(YEAR(DATE($B$4,1,1)+118)=$B$4,DATE($B$4,1,1)+118,""))</x:f>
        <x:v>46506</x:v>
      </x:c>
      <x:c r="B128" s="2" t="n">
        <x:f>IF(A128="","",IF(AND(INDEX($B$6:$H$6,1,WEEKDAY(A128,2))=0,COUNTIF($E$10:$E$39,A128)=0),1,0))</x:f>
        <x:v>1</x:v>
      </x:c>
      <x:c r="C128" s="2" t="n">
        <x:f>IF(A128="","",IF($B$5="Naturales",1,B128))</x:f>
        <x:v>1</x:v>
      </x:c>
      <x:c r="D128" s="2"/>
      <x:c r="E128" s="2"/>
      <x:c r="F128" s="2"/>
      <x:c r="G128" s="2"/>
      <x:c r="H128" s="2"/>
    </x:row>
    <x:row r="129" ht="25" customHeight="1">
      <x:c r="A129" s="12" t="n">
        <x:f>IF($B$7&lt;&gt;"OK","",IF(YEAR(DATE($B$4,1,1)+119)=$B$4,DATE($B$4,1,1)+119,""))</x:f>
        <x:v>46507</x:v>
      </x:c>
      <x:c r="B129" s="2" t="n">
        <x:f>IF(A129="","",IF(AND(INDEX($B$6:$H$6,1,WEEKDAY(A129,2))=0,COUNTIF($E$10:$E$39,A129)=0),1,0))</x:f>
        <x:v>1</x:v>
      </x:c>
      <x:c r="C129" s="2" t="n">
        <x:f>IF(A129="","",IF($B$5="Naturales",1,B129))</x:f>
        <x:v>1</x:v>
      </x:c>
      <x:c r="D129" s="2"/>
      <x:c r="E129" s="2"/>
      <x:c r="F129" s="2"/>
      <x:c r="G129" s="2"/>
      <x:c r="H129" s="2"/>
    </x:row>
    <x:row r="130" ht="25" customHeight="1">
      <x:c r="A130" s="12" t="n">
        <x:f>IF($B$7&lt;&gt;"OK","",IF(YEAR(DATE($B$4,1,1)+120)=$B$4,DATE($B$4,1,1)+120,""))</x:f>
        <x:v>46508</x:v>
      </x:c>
      <x:c r="B130" s="2" t="n">
        <x:f>IF(A130="","",IF(AND(INDEX($B$6:$H$6,1,WEEKDAY(A130,2))=0,COUNTIF($E$10:$E$39,A130)=0),1,0))</x:f>
        <x:v>0</x:v>
      </x:c>
      <x:c r="C130" s="2" t="n">
        <x:f>IF(A130="","",IF($B$5="Naturales",1,B130))</x:f>
        <x:v>0</x:v>
      </x:c>
      <x:c r="D130" s="2"/>
      <x:c r="E130" s="2"/>
      <x:c r="F130" s="2"/>
      <x:c r="G130" s="2"/>
      <x:c r="H130" s="2"/>
    </x:row>
    <x:row r="131" ht="25" customHeight="1">
      <x:c r="A131" s="12" t="n">
        <x:f>IF($B$7&lt;&gt;"OK","",IF(YEAR(DATE($B$4,1,1)+121)=$B$4,DATE($B$4,1,1)+121,""))</x:f>
        <x:v>46509</x:v>
      </x:c>
      <x:c r="B131" s="2" t="n">
        <x:f>IF(A131="","",IF(AND(INDEX($B$6:$H$6,1,WEEKDAY(A131,2))=0,COUNTIF($E$10:$E$39,A131)=0),1,0))</x:f>
        <x:v>0</x:v>
      </x:c>
      <x:c r="C131" s="2" t="n">
        <x:f>IF(A131="","",IF($B$5="Naturales",1,B131))</x:f>
        <x:v>0</x:v>
      </x:c>
      <x:c r="D131" s="2"/>
      <x:c r="E131" s="2"/>
      <x:c r="F131" s="2"/>
      <x:c r="G131" s="2"/>
      <x:c r="H131" s="2"/>
    </x:row>
    <x:row r="132" ht="25" customHeight="1">
      <x:c r="A132" s="12" t="n">
        <x:f>IF($B$7&lt;&gt;"OK","",IF(YEAR(DATE($B$4,1,1)+122)=$B$4,DATE($B$4,1,1)+122,""))</x:f>
        <x:v>46510</x:v>
      </x:c>
      <x:c r="B132" s="2" t="n">
        <x:f>IF(A132="","",IF(AND(INDEX($B$6:$H$6,1,WEEKDAY(A132,2))=0,COUNTIF($E$10:$E$39,A132)=0),1,0))</x:f>
        <x:v>1</x:v>
      </x:c>
      <x:c r="C132" s="2" t="n">
        <x:f>IF(A132="","",IF($B$5="Naturales",1,B132))</x:f>
        <x:v>1</x:v>
      </x:c>
      <x:c r="D132" s="2"/>
      <x:c r="E132" s="2"/>
      <x:c r="F132" s="2"/>
      <x:c r="G132" s="2"/>
      <x:c r="H132" s="2"/>
    </x:row>
    <x:row r="133" ht="25" customHeight="1">
      <x:c r="A133" s="12" t="n">
        <x:f>IF($B$7&lt;&gt;"OK","",IF(YEAR(DATE($B$4,1,1)+123)=$B$4,DATE($B$4,1,1)+123,""))</x:f>
        <x:v>46511</x:v>
      </x:c>
      <x:c r="B133" s="2" t="n">
        <x:f>IF(A133="","",IF(AND(INDEX($B$6:$H$6,1,WEEKDAY(A133,2))=0,COUNTIF($E$10:$E$39,A133)=0),1,0))</x:f>
        <x:v>1</x:v>
      </x:c>
      <x:c r="C133" s="2" t="n">
        <x:f>IF(A133="","",IF($B$5="Naturales",1,B133))</x:f>
        <x:v>1</x:v>
      </x:c>
      <x:c r="D133" s="2"/>
      <x:c r="E133" s="2"/>
      <x:c r="F133" s="2"/>
      <x:c r="G133" s="2"/>
      <x:c r="H133" s="2"/>
    </x:row>
    <x:row r="134" ht="25" customHeight="1">
      <x:c r="A134" s="12" t="n">
        <x:f>IF($B$7&lt;&gt;"OK","",IF(YEAR(DATE($B$4,1,1)+124)=$B$4,DATE($B$4,1,1)+124,""))</x:f>
        <x:v>46512</x:v>
      </x:c>
      <x:c r="B134" s="2" t="n">
        <x:f>IF(A134="","",IF(AND(INDEX($B$6:$H$6,1,WEEKDAY(A134,2))=0,COUNTIF($E$10:$E$39,A134)=0),1,0))</x:f>
        <x:v>1</x:v>
      </x:c>
      <x:c r="C134" s="2" t="n">
        <x:f>IF(A134="","",IF($B$5="Naturales",1,B134))</x:f>
        <x:v>1</x:v>
      </x:c>
      <x:c r="D134" s="2"/>
      <x:c r="E134" s="2"/>
      <x:c r="F134" s="2"/>
      <x:c r="G134" s="2"/>
      <x:c r="H134" s="2"/>
    </x:row>
    <x:row r="135" ht="25" customHeight="1">
      <x:c r="A135" s="12" t="n">
        <x:f>IF($B$7&lt;&gt;"OK","",IF(YEAR(DATE($B$4,1,1)+125)=$B$4,DATE($B$4,1,1)+125,""))</x:f>
        <x:v>46513</x:v>
      </x:c>
      <x:c r="B135" s="2" t="n">
        <x:f>IF(A135="","",IF(AND(INDEX($B$6:$H$6,1,WEEKDAY(A135,2))=0,COUNTIF($E$10:$E$39,A135)=0),1,0))</x:f>
        <x:v>1</x:v>
      </x:c>
      <x:c r="C135" s="2" t="n">
        <x:f>IF(A135="","",IF($B$5="Naturales",1,B135))</x:f>
        <x:v>1</x:v>
      </x:c>
      <x:c r="D135" s="2"/>
      <x:c r="E135" s="2"/>
      <x:c r="F135" s="2"/>
      <x:c r="G135" s="2"/>
      <x:c r="H135" s="2"/>
    </x:row>
    <x:row r="136" ht="25" customHeight="1">
      <x:c r="A136" s="12" t="n">
        <x:f>IF($B$7&lt;&gt;"OK","",IF(YEAR(DATE($B$4,1,1)+126)=$B$4,DATE($B$4,1,1)+126,""))</x:f>
        <x:v>46514</x:v>
      </x:c>
      <x:c r="B136" s="2" t="n">
        <x:f>IF(A136="","",IF(AND(INDEX($B$6:$H$6,1,WEEKDAY(A136,2))=0,COUNTIF($E$10:$E$39,A136)=0),1,0))</x:f>
        <x:v>1</x:v>
      </x:c>
      <x:c r="C136" s="2" t="n">
        <x:f>IF(A136="","",IF($B$5="Naturales",1,B136))</x:f>
        <x:v>1</x:v>
      </x:c>
      <x:c r="D136" s="2"/>
      <x:c r="E136" s="2"/>
      <x:c r="F136" s="2"/>
      <x:c r="G136" s="2"/>
      <x:c r="H136" s="2"/>
    </x:row>
    <x:row r="137" ht="25" customHeight="1">
      <x:c r="A137" s="12" t="n">
        <x:f>IF($B$7&lt;&gt;"OK","",IF(YEAR(DATE($B$4,1,1)+127)=$B$4,DATE($B$4,1,1)+127,""))</x:f>
        <x:v>46515</x:v>
      </x:c>
      <x:c r="B137" s="2" t="n">
        <x:f>IF(A137="","",IF(AND(INDEX($B$6:$H$6,1,WEEKDAY(A137,2))=0,COUNTIF($E$10:$E$39,A137)=0),1,0))</x:f>
        <x:v>0</x:v>
      </x:c>
      <x:c r="C137" s="2" t="n">
        <x:f>IF(A137="","",IF($B$5="Naturales",1,B137))</x:f>
        <x:v>0</x:v>
      </x:c>
      <x:c r="D137" s="2"/>
      <x:c r="E137" s="2"/>
      <x:c r="F137" s="2"/>
      <x:c r="G137" s="2"/>
      <x:c r="H137" s="2"/>
    </x:row>
    <x:row r="138" ht="25" customHeight="1">
      <x:c r="A138" s="12" t="n">
        <x:f>IF($B$7&lt;&gt;"OK","",IF(YEAR(DATE($B$4,1,1)+128)=$B$4,DATE($B$4,1,1)+128,""))</x:f>
        <x:v>46516</x:v>
      </x:c>
      <x:c r="B138" s="2" t="n">
        <x:f>IF(A138="","",IF(AND(INDEX($B$6:$H$6,1,WEEKDAY(A138,2))=0,COUNTIF($E$10:$E$39,A138)=0),1,0))</x:f>
        <x:v>0</x:v>
      </x:c>
      <x:c r="C138" s="2" t="n">
        <x:f>IF(A138="","",IF($B$5="Naturales",1,B138))</x:f>
        <x:v>0</x:v>
      </x:c>
      <x:c r="D138" s="2"/>
      <x:c r="E138" s="2"/>
      <x:c r="F138" s="2"/>
      <x:c r="G138" s="2"/>
      <x:c r="H138" s="2"/>
    </x:row>
    <x:row r="139" ht="25" customHeight="1">
      <x:c r="A139" s="12" t="n">
        <x:f>IF($B$7&lt;&gt;"OK","",IF(YEAR(DATE($B$4,1,1)+129)=$B$4,DATE($B$4,1,1)+129,""))</x:f>
        <x:v>46517</x:v>
      </x:c>
      <x:c r="B139" s="2" t="n">
        <x:f>IF(A139="","",IF(AND(INDEX($B$6:$H$6,1,WEEKDAY(A139,2))=0,COUNTIF($E$10:$E$39,A139)=0),1,0))</x:f>
        <x:v>1</x:v>
      </x:c>
      <x:c r="C139" s="2" t="n">
        <x:f>IF(A139="","",IF($B$5="Naturales",1,B139))</x:f>
        <x:v>1</x:v>
      </x:c>
      <x:c r="D139" s="2"/>
      <x:c r="E139" s="2"/>
      <x:c r="F139" s="2"/>
      <x:c r="G139" s="2"/>
      <x:c r="H139" s="2"/>
    </x:row>
    <x:row r="140" ht="25" customHeight="1">
      <x:c r="A140" s="12" t="n">
        <x:f>IF($B$7&lt;&gt;"OK","",IF(YEAR(DATE($B$4,1,1)+130)=$B$4,DATE($B$4,1,1)+130,""))</x:f>
        <x:v>46518</x:v>
      </x:c>
      <x:c r="B140" s="2" t="n">
        <x:f>IF(A140="","",IF(AND(INDEX($B$6:$H$6,1,WEEKDAY(A140,2))=0,COUNTIF($E$10:$E$39,A140)=0),1,0))</x:f>
        <x:v>1</x:v>
      </x:c>
      <x:c r="C140" s="2" t="n">
        <x:f>IF(A140="","",IF($B$5="Naturales",1,B140))</x:f>
        <x:v>1</x:v>
      </x:c>
      <x:c r="D140" s="2"/>
      <x:c r="E140" s="2"/>
      <x:c r="F140" s="2"/>
      <x:c r="G140" s="2"/>
      <x:c r="H140" s="2"/>
    </x:row>
    <x:row r="141" ht="25" customHeight="1">
      <x:c r="A141" s="12" t="n">
        <x:f>IF($B$7&lt;&gt;"OK","",IF(YEAR(DATE($B$4,1,1)+131)=$B$4,DATE($B$4,1,1)+131,""))</x:f>
        <x:v>46519</x:v>
      </x:c>
      <x:c r="B141" s="2" t="n">
        <x:f>IF(A141="","",IF(AND(INDEX($B$6:$H$6,1,WEEKDAY(A141,2))=0,COUNTIF($E$10:$E$39,A141)=0),1,0))</x:f>
        <x:v>1</x:v>
      </x:c>
      <x:c r="C141" s="2" t="n">
        <x:f>IF(A141="","",IF($B$5="Naturales",1,B141))</x:f>
        <x:v>1</x:v>
      </x:c>
      <x:c r="D141" s="2"/>
      <x:c r="E141" s="2"/>
      <x:c r="F141" s="2"/>
      <x:c r="G141" s="2"/>
      <x:c r="H141" s="2"/>
    </x:row>
    <x:row r="142" ht="25" customHeight="1">
      <x:c r="A142" s="12" t="n">
        <x:f>IF($B$7&lt;&gt;"OK","",IF(YEAR(DATE($B$4,1,1)+132)=$B$4,DATE($B$4,1,1)+132,""))</x:f>
        <x:v>46520</x:v>
      </x:c>
      <x:c r="B142" s="2" t="n">
        <x:f>IF(A142="","",IF(AND(INDEX($B$6:$H$6,1,WEEKDAY(A142,2))=0,COUNTIF($E$10:$E$39,A142)=0),1,0))</x:f>
        <x:v>1</x:v>
      </x:c>
      <x:c r="C142" s="2" t="n">
        <x:f>IF(A142="","",IF($B$5="Naturales",1,B142))</x:f>
        <x:v>1</x:v>
      </x:c>
      <x:c r="D142" s="2"/>
      <x:c r="E142" s="2"/>
      <x:c r="F142" s="2"/>
      <x:c r="G142" s="2"/>
      <x:c r="H142" s="2"/>
    </x:row>
    <x:row r="143" ht="25" customHeight="1">
      <x:c r="A143" s="12" t="n">
        <x:f>IF($B$7&lt;&gt;"OK","",IF(YEAR(DATE($B$4,1,1)+133)=$B$4,DATE($B$4,1,1)+133,""))</x:f>
        <x:v>46521</x:v>
      </x:c>
      <x:c r="B143" s="2" t="n">
        <x:f>IF(A143="","",IF(AND(INDEX($B$6:$H$6,1,WEEKDAY(A143,2))=0,COUNTIF($E$10:$E$39,A143)=0),1,0))</x:f>
        <x:v>1</x:v>
      </x:c>
      <x:c r="C143" s="2" t="n">
        <x:f>IF(A143="","",IF($B$5="Naturales",1,B143))</x:f>
        <x:v>1</x:v>
      </x:c>
      <x:c r="D143" s="2"/>
      <x:c r="E143" s="2"/>
      <x:c r="F143" s="2"/>
      <x:c r="G143" s="2"/>
      <x:c r="H143" s="2"/>
    </x:row>
    <x:row r="144" ht="25" customHeight="1">
      <x:c r="A144" s="12" t="n">
        <x:f>IF($B$7&lt;&gt;"OK","",IF(YEAR(DATE($B$4,1,1)+134)=$B$4,DATE($B$4,1,1)+134,""))</x:f>
        <x:v>46522</x:v>
      </x:c>
      <x:c r="B144" s="2" t="n">
        <x:f>IF(A144="","",IF(AND(INDEX($B$6:$H$6,1,WEEKDAY(A144,2))=0,COUNTIF($E$10:$E$39,A144)=0),1,0))</x:f>
        <x:v>0</x:v>
      </x:c>
      <x:c r="C144" s="2" t="n">
        <x:f>IF(A144="","",IF($B$5="Naturales",1,B144))</x:f>
        <x:v>0</x:v>
      </x:c>
      <x:c r="D144" s="2"/>
      <x:c r="E144" s="2"/>
      <x:c r="F144" s="2"/>
      <x:c r="G144" s="2"/>
      <x:c r="H144" s="2"/>
    </x:row>
    <x:row r="145" ht="25" customHeight="1">
      <x:c r="A145" s="12" t="n">
        <x:f>IF($B$7&lt;&gt;"OK","",IF(YEAR(DATE($B$4,1,1)+135)=$B$4,DATE($B$4,1,1)+135,""))</x:f>
        <x:v>46523</x:v>
      </x:c>
      <x:c r="B145" s="2" t="n">
        <x:f>IF(A145="","",IF(AND(INDEX($B$6:$H$6,1,WEEKDAY(A145,2))=0,COUNTIF($E$10:$E$39,A145)=0),1,0))</x:f>
        <x:v>0</x:v>
      </x:c>
      <x:c r="C145" s="2" t="n">
        <x:f>IF(A145="","",IF($B$5="Naturales",1,B145))</x:f>
        <x:v>0</x:v>
      </x:c>
      <x:c r="D145" s="2"/>
      <x:c r="E145" s="2"/>
      <x:c r="F145" s="2"/>
      <x:c r="G145" s="2"/>
      <x:c r="H145" s="2"/>
    </x:row>
    <x:row r="146" ht="25" customHeight="1">
      <x:c r="A146" s="12" t="n">
        <x:f>IF($B$7&lt;&gt;"OK","",IF(YEAR(DATE($B$4,1,1)+136)=$B$4,DATE($B$4,1,1)+136,""))</x:f>
        <x:v>46524</x:v>
      </x:c>
      <x:c r="B146" s="2" t="n">
        <x:f>IF(A146="","",IF(AND(INDEX($B$6:$H$6,1,WEEKDAY(A146,2))=0,COUNTIF($E$10:$E$39,A146)=0),1,0))</x:f>
        <x:v>1</x:v>
      </x:c>
      <x:c r="C146" s="2" t="n">
        <x:f>IF(A146="","",IF($B$5="Naturales",1,B146))</x:f>
        <x:v>1</x:v>
      </x:c>
      <x:c r="D146" s="2"/>
      <x:c r="E146" s="2"/>
      <x:c r="F146" s="2"/>
      <x:c r="G146" s="2"/>
      <x:c r="H146" s="2"/>
    </x:row>
    <x:row r="147" ht="25" customHeight="1">
      <x:c r="A147" s="12" t="n">
        <x:f>IF($B$7&lt;&gt;"OK","",IF(YEAR(DATE($B$4,1,1)+137)=$B$4,DATE($B$4,1,1)+137,""))</x:f>
        <x:v>46525</x:v>
      </x:c>
      <x:c r="B147" s="2" t="n">
        <x:f>IF(A147="","",IF(AND(INDEX($B$6:$H$6,1,WEEKDAY(A147,2))=0,COUNTIF($E$10:$E$39,A147)=0),1,0))</x:f>
        <x:v>1</x:v>
      </x:c>
      <x:c r="C147" s="2" t="n">
        <x:f>IF(A147="","",IF($B$5="Naturales",1,B147))</x:f>
        <x:v>1</x:v>
      </x:c>
      <x:c r="D147" s="2"/>
      <x:c r="E147" s="2"/>
      <x:c r="F147" s="2"/>
      <x:c r="G147" s="2"/>
      <x:c r="H147" s="2"/>
    </x:row>
    <x:row r="148" ht="25" customHeight="1">
      <x:c r="A148" s="12" t="n">
        <x:f>IF($B$7&lt;&gt;"OK","",IF(YEAR(DATE($B$4,1,1)+138)=$B$4,DATE($B$4,1,1)+138,""))</x:f>
        <x:v>46526</x:v>
      </x:c>
      <x:c r="B148" s="2" t="n">
        <x:f>IF(A148="","",IF(AND(INDEX($B$6:$H$6,1,WEEKDAY(A148,2))=0,COUNTIF($E$10:$E$39,A148)=0),1,0))</x:f>
        <x:v>1</x:v>
      </x:c>
      <x:c r="C148" s="2" t="n">
        <x:f>IF(A148="","",IF($B$5="Naturales",1,B148))</x:f>
        <x:v>1</x:v>
      </x:c>
      <x:c r="D148" s="2"/>
      <x:c r="E148" s="2"/>
      <x:c r="F148" s="2"/>
      <x:c r="G148" s="2"/>
      <x:c r="H148" s="2"/>
    </x:row>
    <x:row r="149" ht="25" customHeight="1">
      <x:c r="A149" s="12" t="n">
        <x:f>IF($B$7&lt;&gt;"OK","",IF(YEAR(DATE($B$4,1,1)+139)=$B$4,DATE($B$4,1,1)+139,""))</x:f>
        <x:v>46527</x:v>
      </x:c>
      <x:c r="B149" s="2" t="n">
        <x:f>IF(A149="","",IF(AND(INDEX($B$6:$H$6,1,WEEKDAY(A149,2))=0,COUNTIF($E$10:$E$39,A149)=0),1,0))</x:f>
        <x:v>1</x:v>
      </x:c>
      <x:c r="C149" s="2" t="n">
        <x:f>IF(A149="","",IF($B$5="Naturales",1,B149))</x:f>
        <x:v>1</x:v>
      </x:c>
      <x:c r="D149" s="2"/>
      <x:c r="E149" s="2"/>
      <x:c r="F149" s="2"/>
      <x:c r="G149" s="2"/>
      <x:c r="H149" s="2"/>
    </x:row>
    <x:row r="150" ht="25" customHeight="1">
      <x:c r="A150" s="12" t="n">
        <x:f>IF($B$7&lt;&gt;"OK","",IF(YEAR(DATE($B$4,1,1)+140)=$B$4,DATE($B$4,1,1)+140,""))</x:f>
        <x:v>46528</x:v>
      </x:c>
      <x:c r="B150" s="2" t="n">
        <x:f>IF(A150="","",IF(AND(INDEX($B$6:$H$6,1,WEEKDAY(A150,2))=0,COUNTIF($E$10:$E$39,A150)=0),1,0))</x:f>
        <x:v>1</x:v>
      </x:c>
      <x:c r="C150" s="2" t="n">
        <x:f>IF(A150="","",IF($B$5="Naturales",1,B150))</x:f>
        <x:v>1</x:v>
      </x:c>
      <x:c r="D150" s="2"/>
      <x:c r="E150" s="2"/>
      <x:c r="F150" s="2"/>
      <x:c r="G150" s="2"/>
      <x:c r="H150" s="2"/>
    </x:row>
    <x:row r="151" ht="25" customHeight="1">
      <x:c r="A151" s="12" t="n">
        <x:f>IF($B$7&lt;&gt;"OK","",IF(YEAR(DATE($B$4,1,1)+141)=$B$4,DATE($B$4,1,1)+141,""))</x:f>
        <x:v>46529</x:v>
      </x:c>
      <x:c r="B151" s="2" t="n">
        <x:f>IF(A151="","",IF(AND(INDEX($B$6:$H$6,1,WEEKDAY(A151,2))=0,COUNTIF($E$10:$E$39,A151)=0),1,0))</x:f>
        <x:v>0</x:v>
      </x:c>
      <x:c r="C151" s="2" t="n">
        <x:f>IF(A151="","",IF($B$5="Naturales",1,B151))</x:f>
        <x:v>0</x:v>
      </x:c>
      <x:c r="D151" s="2"/>
      <x:c r="E151" s="2"/>
      <x:c r="F151" s="2"/>
      <x:c r="G151" s="2"/>
      <x:c r="H151" s="2"/>
    </x:row>
    <x:row r="152" ht="25" customHeight="1">
      <x:c r="A152" s="12" t="n">
        <x:f>IF($B$7&lt;&gt;"OK","",IF(YEAR(DATE($B$4,1,1)+142)=$B$4,DATE($B$4,1,1)+142,""))</x:f>
        <x:v>46530</x:v>
      </x:c>
      <x:c r="B152" s="2" t="n">
        <x:f>IF(A152="","",IF(AND(INDEX($B$6:$H$6,1,WEEKDAY(A152,2))=0,COUNTIF($E$10:$E$39,A152)=0),1,0))</x:f>
        <x:v>0</x:v>
      </x:c>
      <x:c r="C152" s="2" t="n">
        <x:f>IF(A152="","",IF($B$5="Naturales",1,B152))</x:f>
        <x:v>0</x:v>
      </x:c>
      <x:c r="D152" s="2"/>
      <x:c r="E152" s="2"/>
      <x:c r="F152" s="2"/>
      <x:c r="G152" s="2"/>
      <x:c r="H152" s="2"/>
    </x:row>
    <x:row r="153" ht="25" customHeight="1">
      <x:c r="A153" s="12" t="n">
        <x:f>IF($B$7&lt;&gt;"OK","",IF(YEAR(DATE($B$4,1,1)+143)=$B$4,DATE($B$4,1,1)+143,""))</x:f>
        <x:v>46531</x:v>
      </x:c>
      <x:c r="B153" s="2" t="n">
        <x:f>IF(A153="","",IF(AND(INDEX($B$6:$H$6,1,WEEKDAY(A153,2))=0,COUNTIF($E$10:$E$39,A153)=0),1,0))</x:f>
        <x:v>1</x:v>
      </x:c>
      <x:c r="C153" s="2" t="n">
        <x:f>IF(A153="","",IF($B$5="Naturales",1,B153))</x:f>
        <x:v>1</x:v>
      </x:c>
      <x:c r="D153" s="2"/>
      <x:c r="E153" s="2"/>
      <x:c r="F153" s="2"/>
      <x:c r="G153" s="2"/>
      <x:c r="H153" s="2"/>
    </x:row>
    <x:row r="154" ht="25" customHeight="1">
      <x:c r="A154" s="12" t="n">
        <x:f>IF($B$7&lt;&gt;"OK","",IF(YEAR(DATE($B$4,1,1)+144)=$B$4,DATE($B$4,1,1)+144,""))</x:f>
        <x:v>46532</x:v>
      </x:c>
      <x:c r="B154" s="2" t="n">
        <x:f>IF(A154="","",IF(AND(INDEX($B$6:$H$6,1,WEEKDAY(A154,2))=0,COUNTIF($E$10:$E$39,A154)=0),1,0))</x:f>
        <x:v>1</x:v>
      </x:c>
      <x:c r="C154" s="2" t="n">
        <x:f>IF(A154="","",IF($B$5="Naturales",1,B154))</x:f>
        <x:v>1</x:v>
      </x:c>
      <x:c r="D154" s="2"/>
      <x:c r="E154" s="2"/>
      <x:c r="F154" s="2"/>
      <x:c r="G154" s="2"/>
      <x:c r="H154" s="2"/>
    </x:row>
    <x:row r="155" ht="25" customHeight="1">
      <x:c r="A155" s="12" t="n">
        <x:f>IF($B$7&lt;&gt;"OK","",IF(YEAR(DATE($B$4,1,1)+145)=$B$4,DATE($B$4,1,1)+145,""))</x:f>
        <x:v>46533</x:v>
      </x:c>
      <x:c r="B155" s="2" t="n">
        <x:f>IF(A155="","",IF(AND(INDEX($B$6:$H$6,1,WEEKDAY(A155,2))=0,COUNTIF($E$10:$E$39,A155)=0),1,0))</x:f>
        <x:v>1</x:v>
      </x:c>
      <x:c r="C155" s="2" t="n">
        <x:f>IF(A155="","",IF($B$5="Naturales",1,B155))</x:f>
        <x:v>1</x:v>
      </x:c>
      <x:c r="D155" s="2"/>
      <x:c r="E155" s="2"/>
      <x:c r="F155" s="2"/>
      <x:c r="G155" s="2"/>
      <x:c r="H155" s="2"/>
    </x:row>
    <x:row r="156" ht="25" customHeight="1">
      <x:c r="A156" s="12" t="n">
        <x:f>IF($B$7&lt;&gt;"OK","",IF(YEAR(DATE($B$4,1,1)+146)=$B$4,DATE($B$4,1,1)+146,""))</x:f>
        <x:v>46534</x:v>
      </x:c>
      <x:c r="B156" s="2" t="n">
        <x:f>IF(A156="","",IF(AND(INDEX($B$6:$H$6,1,WEEKDAY(A156,2))=0,COUNTIF($E$10:$E$39,A156)=0),1,0))</x:f>
        <x:v>1</x:v>
      </x:c>
      <x:c r="C156" s="2" t="n">
        <x:f>IF(A156="","",IF($B$5="Naturales",1,B156))</x:f>
        <x:v>1</x:v>
      </x:c>
      <x:c r="D156" s="2"/>
      <x:c r="E156" s="2"/>
      <x:c r="F156" s="2"/>
      <x:c r="G156" s="2"/>
      <x:c r="H156" s="2"/>
    </x:row>
    <x:row r="157" ht="25" customHeight="1">
      <x:c r="A157" s="12" t="n">
        <x:f>IF($B$7&lt;&gt;"OK","",IF(YEAR(DATE($B$4,1,1)+147)=$B$4,DATE($B$4,1,1)+147,""))</x:f>
        <x:v>46535</x:v>
      </x:c>
      <x:c r="B157" s="2" t="n">
        <x:f>IF(A157="","",IF(AND(INDEX($B$6:$H$6,1,WEEKDAY(A157,2))=0,COUNTIF($E$10:$E$39,A157)=0),1,0))</x:f>
        <x:v>1</x:v>
      </x:c>
      <x:c r="C157" s="2" t="n">
        <x:f>IF(A157="","",IF($B$5="Naturales",1,B157))</x:f>
        <x:v>1</x:v>
      </x:c>
      <x:c r="D157" s="2"/>
      <x:c r="E157" s="2"/>
      <x:c r="F157" s="2"/>
      <x:c r="G157" s="2"/>
      <x:c r="H157" s="2"/>
    </x:row>
    <x:row r="158" ht="25" customHeight="1">
      <x:c r="A158" s="12" t="n">
        <x:f>IF($B$7&lt;&gt;"OK","",IF(YEAR(DATE($B$4,1,1)+148)=$B$4,DATE($B$4,1,1)+148,""))</x:f>
        <x:v>46536</x:v>
      </x:c>
      <x:c r="B158" s="2" t="n">
        <x:f>IF(A158="","",IF(AND(INDEX($B$6:$H$6,1,WEEKDAY(A158,2))=0,COUNTIF($E$10:$E$39,A158)=0),1,0))</x:f>
        <x:v>0</x:v>
      </x:c>
      <x:c r="C158" s="2" t="n">
        <x:f>IF(A158="","",IF($B$5="Naturales",1,B158))</x:f>
        <x:v>0</x:v>
      </x:c>
      <x:c r="D158" s="2"/>
      <x:c r="E158" s="2"/>
      <x:c r="F158" s="2"/>
      <x:c r="G158" s="2"/>
      <x:c r="H158" s="2"/>
    </x:row>
    <x:row r="159" ht="25" customHeight="1">
      <x:c r="A159" s="12" t="n">
        <x:f>IF($B$7&lt;&gt;"OK","",IF(YEAR(DATE($B$4,1,1)+149)=$B$4,DATE($B$4,1,1)+149,""))</x:f>
        <x:v>46537</x:v>
      </x:c>
      <x:c r="B159" s="2" t="n">
        <x:f>IF(A159="","",IF(AND(INDEX($B$6:$H$6,1,WEEKDAY(A159,2))=0,COUNTIF($E$10:$E$39,A159)=0),1,0))</x:f>
        <x:v>0</x:v>
      </x:c>
      <x:c r="C159" s="2" t="n">
        <x:f>IF(A159="","",IF($B$5="Naturales",1,B159))</x:f>
        <x:v>0</x:v>
      </x:c>
      <x:c r="D159" s="2"/>
      <x:c r="E159" s="2"/>
      <x:c r="F159" s="2"/>
      <x:c r="G159" s="2"/>
      <x:c r="H159" s="2"/>
    </x:row>
    <x:row r="160" ht="25" customHeight="1">
      <x:c r="A160" s="12" t="n">
        <x:f>IF($B$7&lt;&gt;"OK","",IF(YEAR(DATE($B$4,1,1)+150)=$B$4,DATE($B$4,1,1)+150,""))</x:f>
        <x:v>46538</x:v>
      </x:c>
      <x:c r="B160" s="2" t="n">
        <x:f>IF(A160="","",IF(AND(INDEX($B$6:$H$6,1,WEEKDAY(A160,2))=0,COUNTIF($E$10:$E$39,A160)=0),1,0))</x:f>
        <x:v>1</x:v>
      </x:c>
      <x:c r="C160" s="2" t="n">
        <x:f>IF(A160="","",IF($B$5="Naturales",1,B160))</x:f>
        <x:v>1</x:v>
      </x:c>
      <x:c r="D160" s="2"/>
      <x:c r="E160" s="2"/>
      <x:c r="F160" s="2"/>
      <x:c r="G160" s="2"/>
      <x:c r="H160" s="2"/>
    </x:row>
    <x:row r="161" ht="25" customHeight="1">
      <x:c r="A161" s="12" t="n">
        <x:f>IF($B$7&lt;&gt;"OK","",IF(YEAR(DATE($B$4,1,1)+151)=$B$4,DATE($B$4,1,1)+151,""))</x:f>
        <x:v>46539</x:v>
      </x:c>
      <x:c r="B161" s="2" t="n">
        <x:f>IF(A161="","",IF(AND(INDEX($B$6:$H$6,1,WEEKDAY(A161,2))=0,COUNTIF($E$10:$E$39,A161)=0),1,0))</x:f>
        <x:v>1</x:v>
      </x:c>
      <x:c r="C161" s="2" t="n">
        <x:f>IF(A161="","",IF($B$5="Naturales",1,B161))</x:f>
        <x:v>1</x:v>
      </x:c>
      <x:c r="D161" s="2"/>
      <x:c r="E161" s="2"/>
      <x:c r="F161" s="2"/>
      <x:c r="G161" s="2"/>
      <x:c r="H161" s="2"/>
    </x:row>
    <x:row r="162" ht="25" customHeight="1">
      <x:c r="A162" s="12" t="n">
        <x:f>IF($B$7&lt;&gt;"OK","",IF(YEAR(DATE($B$4,1,1)+152)=$B$4,DATE($B$4,1,1)+152,""))</x:f>
        <x:v>46540</x:v>
      </x:c>
      <x:c r="B162" s="2" t="n">
        <x:f>IF(A162="","",IF(AND(INDEX($B$6:$H$6,1,WEEKDAY(A162,2))=0,COUNTIF($E$10:$E$39,A162)=0),1,0))</x:f>
        <x:v>1</x:v>
      </x:c>
      <x:c r="C162" s="2" t="n">
        <x:f>IF(A162="","",IF($B$5="Naturales",1,B162))</x:f>
        <x:v>1</x:v>
      </x:c>
      <x:c r="D162" s="2"/>
      <x:c r="E162" s="2"/>
      <x:c r="F162" s="2"/>
      <x:c r="G162" s="2"/>
      <x:c r="H162" s="2"/>
    </x:row>
    <x:row r="163" ht="25" customHeight="1">
      <x:c r="A163" s="12" t="n">
        <x:f>IF($B$7&lt;&gt;"OK","",IF(YEAR(DATE($B$4,1,1)+153)=$B$4,DATE($B$4,1,1)+153,""))</x:f>
        <x:v>46541</x:v>
      </x:c>
      <x:c r="B163" s="2" t="n">
        <x:f>IF(A163="","",IF(AND(INDEX($B$6:$H$6,1,WEEKDAY(A163,2))=0,COUNTIF($E$10:$E$39,A163)=0),1,0))</x:f>
        <x:v>1</x:v>
      </x:c>
      <x:c r="C163" s="2" t="n">
        <x:f>IF(A163="","",IF($B$5="Naturales",1,B163))</x:f>
        <x:v>1</x:v>
      </x:c>
      <x:c r="D163" s="2"/>
      <x:c r="E163" s="2"/>
      <x:c r="F163" s="2"/>
      <x:c r="G163" s="2"/>
      <x:c r="H163" s="2"/>
    </x:row>
    <x:row r="164" ht="25" customHeight="1">
      <x:c r="A164" s="12" t="n">
        <x:f>IF($B$7&lt;&gt;"OK","",IF(YEAR(DATE($B$4,1,1)+154)=$B$4,DATE($B$4,1,1)+154,""))</x:f>
        <x:v>46542</x:v>
      </x:c>
      <x:c r="B164" s="2" t="n">
        <x:f>IF(A164="","",IF(AND(INDEX($B$6:$H$6,1,WEEKDAY(A164,2))=0,COUNTIF($E$10:$E$39,A164)=0),1,0))</x:f>
        <x:v>1</x:v>
      </x:c>
      <x:c r="C164" s="2" t="n">
        <x:f>IF(A164="","",IF($B$5="Naturales",1,B164))</x:f>
        <x:v>1</x:v>
      </x:c>
      <x:c r="D164" s="2"/>
      <x:c r="E164" s="2"/>
      <x:c r="F164" s="2"/>
      <x:c r="G164" s="2"/>
      <x:c r="H164" s="2"/>
    </x:row>
    <x:row r="165" ht="25" customHeight="1">
      <x:c r="A165" s="12" t="n">
        <x:f>IF($B$7&lt;&gt;"OK","",IF(YEAR(DATE($B$4,1,1)+155)=$B$4,DATE($B$4,1,1)+155,""))</x:f>
        <x:v>46543</x:v>
      </x:c>
      <x:c r="B165" s="2" t="n">
        <x:f>IF(A165="","",IF(AND(INDEX($B$6:$H$6,1,WEEKDAY(A165,2))=0,COUNTIF($E$10:$E$39,A165)=0),1,0))</x:f>
        <x:v>0</x:v>
      </x:c>
      <x:c r="C165" s="2" t="n">
        <x:f>IF(A165="","",IF($B$5="Naturales",1,B165))</x:f>
        <x:v>0</x:v>
      </x:c>
      <x:c r="D165" s="2"/>
      <x:c r="E165" s="2"/>
      <x:c r="F165" s="2"/>
      <x:c r="G165" s="2"/>
      <x:c r="H165" s="2"/>
    </x:row>
    <x:row r="166" ht="25" customHeight="1">
      <x:c r="A166" s="12" t="n">
        <x:f>IF($B$7&lt;&gt;"OK","",IF(YEAR(DATE($B$4,1,1)+156)=$B$4,DATE($B$4,1,1)+156,""))</x:f>
        <x:v>46544</x:v>
      </x:c>
      <x:c r="B166" s="2" t="n">
        <x:f>IF(A166="","",IF(AND(INDEX($B$6:$H$6,1,WEEKDAY(A166,2))=0,COUNTIF($E$10:$E$39,A166)=0),1,0))</x:f>
        <x:v>0</x:v>
      </x:c>
      <x:c r="C166" s="2" t="n">
        <x:f>IF(A166="","",IF($B$5="Naturales",1,B166))</x:f>
        <x:v>0</x:v>
      </x:c>
      <x:c r="D166" s="2"/>
      <x:c r="E166" s="2"/>
      <x:c r="F166" s="2"/>
      <x:c r="G166" s="2"/>
      <x:c r="H166" s="2"/>
    </x:row>
    <x:row r="167" ht="25" customHeight="1">
      <x:c r="A167" s="12" t="n">
        <x:f>IF($B$7&lt;&gt;"OK","",IF(YEAR(DATE($B$4,1,1)+157)=$B$4,DATE($B$4,1,1)+157,""))</x:f>
        <x:v>46545</x:v>
      </x:c>
      <x:c r="B167" s="2" t="n">
        <x:f>IF(A167="","",IF(AND(INDEX($B$6:$H$6,1,WEEKDAY(A167,2))=0,COUNTIF($E$10:$E$39,A167)=0),1,0))</x:f>
        <x:v>1</x:v>
      </x:c>
      <x:c r="C167" s="2" t="n">
        <x:f>IF(A167="","",IF($B$5="Naturales",1,B167))</x:f>
        <x:v>1</x:v>
      </x:c>
      <x:c r="D167" s="2"/>
      <x:c r="E167" s="2"/>
      <x:c r="F167" s="2"/>
      <x:c r="G167" s="2"/>
      <x:c r="H167" s="2"/>
    </x:row>
    <x:row r="168" ht="25" customHeight="1">
      <x:c r="A168" s="12" t="n">
        <x:f>IF($B$7&lt;&gt;"OK","",IF(YEAR(DATE($B$4,1,1)+158)=$B$4,DATE($B$4,1,1)+158,""))</x:f>
        <x:v>46546</x:v>
      </x:c>
      <x:c r="B168" s="2" t="n">
        <x:f>IF(A168="","",IF(AND(INDEX($B$6:$H$6,1,WEEKDAY(A168,2))=0,COUNTIF($E$10:$E$39,A168)=0),1,0))</x:f>
        <x:v>1</x:v>
      </x:c>
      <x:c r="C168" s="2" t="n">
        <x:f>IF(A168="","",IF($B$5="Naturales",1,B168))</x:f>
        <x:v>1</x:v>
      </x:c>
      <x:c r="D168" s="2"/>
      <x:c r="E168" s="2"/>
      <x:c r="F168" s="2"/>
      <x:c r="G168" s="2"/>
      <x:c r="H168" s="2"/>
    </x:row>
    <x:row r="169" ht="25" customHeight="1">
      <x:c r="A169" s="12" t="n">
        <x:f>IF($B$7&lt;&gt;"OK","",IF(YEAR(DATE($B$4,1,1)+159)=$B$4,DATE($B$4,1,1)+159,""))</x:f>
        <x:v>46547</x:v>
      </x:c>
      <x:c r="B169" s="2" t="n">
        <x:f>IF(A169="","",IF(AND(INDEX($B$6:$H$6,1,WEEKDAY(A169,2))=0,COUNTIF($E$10:$E$39,A169)=0),1,0))</x:f>
        <x:v>1</x:v>
      </x:c>
      <x:c r="C169" s="2" t="n">
        <x:f>IF(A169="","",IF($B$5="Naturales",1,B169))</x:f>
        <x:v>1</x:v>
      </x:c>
      <x:c r="D169" s="2"/>
      <x:c r="E169" s="2"/>
      <x:c r="F169" s="2"/>
      <x:c r="G169" s="2"/>
      <x:c r="H169" s="2"/>
    </x:row>
    <x:row r="170" ht="25" customHeight="1">
      <x:c r="A170" s="12" t="n">
        <x:f>IF($B$7&lt;&gt;"OK","",IF(YEAR(DATE($B$4,1,1)+160)=$B$4,DATE($B$4,1,1)+160,""))</x:f>
        <x:v>46548</x:v>
      </x:c>
      <x:c r="B170" s="2" t="n">
        <x:f>IF(A170="","",IF(AND(INDEX($B$6:$H$6,1,WEEKDAY(A170,2))=0,COUNTIF($E$10:$E$39,A170)=0),1,0))</x:f>
        <x:v>1</x:v>
      </x:c>
      <x:c r="C170" s="2" t="n">
        <x:f>IF(A170="","",IF($B$5="Naturales",1,B170))</x:f>
        <x:v>1</x:v>
      </x:c>
      <x:c r="D170" s="2"/>
      <x:c r="E170" s="2"/>
      <x:c r="F170" s="2"/>
      <x:c r="G170" s="2"/>
      <x:c r="H170" s="2"/>
    </x:row>
    <x:row r="171" ht="25" customHeight="1">
      <x:c r="A171" s="12" t="n">
        <x:f>IF($B$7&lt;&gt;"OK","",IF(YEAR(DATE($B$4,1,1)+161)=$B$4,DATE($B$4,1,1)+161,""))</x:f>
        <x:v>46549</x:v>
      </x:c>
      <x:c r="B171" s="2" t="n">
        <x:f>IF(A171="","",IF(AND(INDEX($B$6:$H$6,1,WEEKDAY(A171,2))=0,COUNTIF($E$10:$E$39,A171)=0),1,0))</x:f>
        <x:v>1</x:v>
      </x:c>
      <x:c r="C171" s="2" t="n">
        <x:f>IF(A171="","",IF($B$5="Naturales",1,B171))</x:f>
        <x:v>1</x:v>
      </x:c>
      <x:c r="D171" s="2"/>
      <x:c r="E171" s="2"/>
      <x:c r="F171" s="2"/>
      <x:c r="G171" s="2"/>
      <x:c r="H171" s="2"/>
    </x:row>
    <x:row r="172" ht="25" customHeight="1">
      <x:c r="A172" s="12" t="n">
        <x:f>IF($B$7&lt;&gt;"OK","",IF(YEAR(DATE($B$4,1,1)+162)=$B$4,DATE($B$4,1,1)+162,""))</x:f>
        <x:v>46550</x:v>
      </x:c>
      <x:c r="B172" s="2" t="n">
        <x:f>IF(A172="","",IF(AND(INDEX($B$6:$H$6,1,WEEKDAY(A172,2))=0,COUNTIF($E$10:$E$39,A172)=0),1,0))</x:f>
        <x:v>0</x:v>
      </x:c>
      <x:c r="C172" s="2" t="n">
        <x:f>IF(A172="","",IF($B$5="Naturales",1,B172))</x:f>
        <x:v>0</x:v>
      </x:c>
      <x:c r="D172" s="2"/>
      <x:c r="E172" s="2"/>
      <x:c r="F172" s="2"/>
      <x:c r="G172" s="2"/>
      <x:c r="H172" s="2"/>
    </x:row>
    <x:row r="173" ht="25" customHeight="1">
      <x:c r="A173" s="12" t="n">
        <x:f>IF($B$7&lt;&gt;"OK","",IF(YEAR(DATE($B$4,1,1)+163)=$B$4,DATE($B$4,1,1)+163,""))</x:f>
        <x:v>46551</x:v>
      </x:c>
      <x:c r="B173" s="2" t="n">
        <x:f>IF(A173="","",IF(AND(INDEX($B$6:$H$6,1,WEEKDAY(A173,2))=0,COUNTIF($E$10:$E$39,A173)=0),1,0))</x:f>
        <x:v>0</x:v>
      </x:c>
      <x:c r="C173" s="2" t="n">
        <x:f>IF(A173="","",IF($B$5="Naturales",1,B173))</x:f>
        <x:v>0</x:v>
      </x:c>
      <x:c r="D173" s="2"/>
      <x:c r="E173" s="2"/>
      <x:c r="F173" s="2"/>
      <x:c r="G173" s="2"/>
      <x:c r="H173" s="2"/>
    </x:row>
    <x:row r="174" ht="25" customHeight="1">
      <x:c r="A174" s="12" t="n">
        <x:f>IF($B$7&lt;&gt;"OK","",IF(YEAR(DATE($B$4,1,1)+164)=$B$4,DATE($B$4,1,1)+164,""))</x:f>
        <x:v>46552</x:v>
      </x:c>
      <x:c r="B174" s="2" t="n">
        <x:f>IF(A174="","",IF(AND(INDEX($B$6:$H$6,1,WEEKDAY(A174,2))=0,COUNTIF($E$10:$E$39,A174)=0),1,0))</x:f>
        <x:v>1</x:v>
      </x:c>
      <x:c r="C174" s="2" t="n">
        <x:f>IF(A174="","",IF($B$5="Naturales",1,B174))</x:f>
        <x:v>1</x:v>
      </x:c>
      <x:c r="D174" s="2"/>
      <x:c r="E174" s="2"/>
      <x:c r="F174" s="2"/>
      <x:c r="G174" s="2"/>
      <x:c r="H174" s="2"/>
    </x:row>
    <x:row r="175" ht="25" customHeight="1">
      <x:c r="A175" s="12" t="n">
        <x:f>IF($B$7&lt;&gt;"OK","",IF(YEAR(DATE($B$4,1,1)+165)=$B$4,DATE($B$4,1,1)+165,""))</x:f>
        <x:v>46553</x:v>
      </x:c>
      <x:c r="B175" s="2" t="n">
        <x:f>IF(A175="","",IF(AND(INDEX($B$6:$H$6,1,WEEKDAY(A175,2))=0,COUNTIF($E$10:$E$39,A175)=0),1,0))</x:f>
        <x:v>1</x:v>
      </x:c>
      <x:c r="C175" s="2" t="n">
        <x:f>IF(A175="","",IF($B$5="Naturales",1,B175))</x:f>
        <x:v>1</x:v>
      </x:c>
      <x:c r="D175" s="2"/>
      <x:c r="E175" s="2"/>
      <x:c r="F175" s="2"/>
      <x:c r="G175" s="2"/>
      <x:c r="H175" s="2"/>
    </x:row>
    <x:row r="176" ht="25" customHeight="1">
      <x:c r="A176" s="12" t="n">
        <x:f>IF($B$7&lt;&gt;"OK","",IF(YEAR(DATE($B$4,1,1)+166)=$B$4,DATE($B$4,1,1)+166,""))</x:f>
        <x:v>46554</x:v>
      </x:c>
      <x:c r="B176" s="2" t="n">
        <x:f>IF(A176="","",IF(AND(INDEX($B$6:$H$6,1,WEEKDAY(A176,2))=0,COUNTIF($E$10:$E$39,A176)=0),1,0))</x:f>
        <x:v>1</x:v>
      </x:c>
      <x:c r="C176" s="2" t="n">
        <x:f>IF(A176="","",IF($B$5="Naturales",1,B176))</x:f>
        <x:v>1</x:v>
      </x:c>
      <x:c r="D176" s="2"/>
      <x:c r="E176" s="2"/>
      <x:c r="F176" s="2"/>
      <x:c r="G176" s="2"/>
      <x:c r="H176" s="2"/>
    </x:row>
    <x:row r="177" ht="25" customHeight="1">
      <x:c r="A177" s="12" t="n">
        <x:f>IF($B$7&lt;&gt;"OK","",IF(YEAR(DATE($B$4,1,1)+167)=$B$4,DATE($B$4,1,1)+167,""))</x:f>
        <x:v>46555</x:v>
      </x:c>
      <x:c r="B177" s="2" t="n">
        <x:f>IF(A177="","",IF(AND(INDEX($B$6:$H$6,1,WEEKDAY(A177,2))=0,COUNTIF($E$10:$E$39,A177)=0),1,0))</x:f>
        <x:v>1</x:v>
      </x:c>
      <x:c r="C177" s="2" t="n">
        <x:f>IF(A177="","",IF($B$5="Naturales",1,B177))</x:f>
        <x:v>1</x:v>
      </x:c>
      <x:c r="D177" s="2"/>
      <x:c r="E177" s="2"/>
      <x:c r="F177" s="2"/>
      <x:c r="G177" s="2"/>
      <x:c r="H177" s="2"/>
    </x:row>
    <x:row r="178" ht="25" customHeight="1">
      <x:c r="A178" s="12" t="n">
        <x:f>IF($B$7&lt;&gt;"OK","",IF(YEAR(DATE($B$4,1,1)+168)=$B$4,DATE($B$4,1,1)+168,""))</x:f>
        <x:v>46556</x:v>
      </x:c>
      <x:c r="B178" s="2" t="n">
        <x:f>IF(A178="","",IF(AND(INDEX($B$6:$H$6,1,WEEKDAY(A178,2))=0,COUNTIF($E$10:$E$39,A178)=0),1,0))</x:f>
        <x:v>1</x:v>
      </x:c>
      <x:c r="C178" s="2" t="n">
        <x:f>IF(A178="","",IF($B$5="Naturales",1,B178))</x:f>
        <x:v>1</x:v>
      </x:c>
      <x:c r="D178" s="2"/>
      <x:c r="E178" s="2"/>
      <x:c r="F178" s="2"/>
      <x:c r="G178" s="2"/>
      <x:c r="H178" s="2"/>
    </x:row>
    <x:row r="179" ht="25" customHeight="1">
      <x:c r="A179" s="12" t="n">
        <x:f>IF($B$7&lt;&gt;"OK","",IF(YEAR(DATE($B$4,1,1)+169)=$B$4,DATE($B$4,1,1)+169,""))</x:f>
        <x:v>46557</x:v>
      </x:c>
      <x:c r="B179" s="2" t="n">
        <x:f>IF(A179="","",IF(AND(INDEX($B$6:$H$6,1,WEEKDAY(A179,2))=0,COUNTIF($E$10:$E$39,A179)=0),1,0))</x:f>
        <x:v>0</x:v>
      </x:c>
      <x:c r="C179" s="2" t="n">
        <x:f>IF(A179="","",IF($B$5="Naturales",1,B179))</x:f>
        <x:v>0</x:v>
      </x:c>
      <x:c r="D179" s="2"/>
      <x:c r="E179" s="2"/>
      <x:c r="F179" s="2"/>
      <x:c r="G179" s="2"/>
      <x:c r="H179" s="2"/>
    </x:row>
    <x:row r="180" ht="25" customHeight="1">
      <x:c r="A180" s="12" t="n">
        <x:f>IF($B$7&lt;&gt;"OK","",IF(YEAR(DATE($B$4,1,1)+170)=$B$4,DATE($B$4,1,1)+170,""))</x:f>
        <x:v>46558</x:v>
      </x:c>
      <x:c r="B180" s="2" t="n">
        <x:f>IF(A180="","",IF(AND(INDEX($B$6:$H$6,1,WEEKDAY(A180,2))=0,COUNTIF($E$10:$E$39,A180)=0),1,0))</x:f>
        <x:v>0</x:v>
      </x:c>
      <x:c r="C180" s="2" t="n">
        <x:f>IF(A180="","",IF($B$5="Naturales",1,B180))</x:f>
        <x:v>0</x:v>
      </x:c>
      <x:c r="D180" s="2"/>
      <x:c r="E180" s="2"/>
      <x:c r="F180" s="2"/>
      <x:c r="G180" s="2"/>
      <x:c r="H180" s="2"/>
    </x:row>
    <x:row r="181" ht="25" customHeight="1">
      <x:c r="A181" s="12" t="n">
        <x:f>IF($B$7&lt;&gt;"OK","",IF(YEAR(DATE($B$4,1,1)+171)=$B$4,DATE($B$4,1,1)+171,""))</x:f>
        <x:v>46559</x:v>
      </x:c>
      <x:c r="B181" s="2" t="n">
        <x:f>IF(A181="","",IF(AND(INDEX($B$6:$H$6,1,WEEKDAY(A181,2))=0,COUNTIF($E$10:$E$39,A181)=0),1,0))</x:f>
        <x:v>1</x:v>
      </x:c>
      <x:c r="C181" s="2" t="n">
        <x:f>IF(A181="","",IF($B$5="Naturales",1,B181))</x:f>
        <x:v>1</x:v>
      </x:c>
      <x:c r="D181" s="2"/>
      <x:c r="E181" s="2"/>
      <x:c r="F181" s="2"/>
      <x:c r="G181" s="2"/>
      <x:c r="H181" s="2"/>
    </x:row>
    <x:row r="182" ht="25" customHeight="1">
      <x:c r="A182" s="12" t="n">
        <x:f>IF($B$7&lt;&gt;"OK","",IF(YEAR(DATE($B$4,1,1)+172)=$B$4,DATE($B$4,1,1)+172,""))</x:f>
        <x:v>46560</x:v>
      </x:c>
      <x:c r="B182" s="2" t="n">
        <x:f>IF(A182="","",IF(AND(INDEX($B$6:$H$6,1,WEEKDAY(A182,2))=0,COUNTIF($E$10:$E$39,A182)=0),1,0))</x:f>
        <x:v>1</x:v>
      </x:c>
      <x:c r="C182" s="2" t="n">
        <x:f>IF(A182="","",IF($B$5="Naturales",1,B182))</x:f>
        <x:v>1</x:v>
      </x:c>
      <x:c r="D182" s="2"/>
      <x:c r="E182" s="2"/>
      <x:c r="F182" s="2"/>
      <x:c r="G182" s="2"/>
      <x:c r="H182" s="2"/>
    </x:row>
    <x:row r="183" ht="25" customHeight="1">
      <x:c r="A183" s="12" t="n">
        <x:f>IF($B$7&lt;&gt;"OK","",IF(YEAR(DATE($B$4,1,1)+173)=$B$4,DATE($B$4,1,1)+173,""))</x:f>
        <x:v>46561</x:v>
      </x:c>
      <x:c r="B183" s="2" t="n">
        <x:f>IF(A183="","",IF(AND(INDEX($B$6:$H$6,1,WEEKDAY(A183,2))=0,COUNTIF($E$10:$E$39,A183)=0),1,0))</x:f>
        <x:v>1</x:v>
      </x:c>
      <x:c r="C183" s="2" t="n">
        <x:f>IF(A183="","",IF($B$5="Naturales",1,B183))</x:f>
        <x:v>1</x:v>
      </x:c>
      <x:c r="D183" s="2"/>
      <x:c r="E183" s="2"/>
      <x:c r="F183" s="2"/>
      <x:c r="G183" s="2"/>
      <x:c r="H183" s="2"/>
    </x:row>
    <x:row r="184" ht="25" customHeight="1">
      <x:c r="A184" s="12" t="n">
        <x:f>IF($B$7&lt;&gt;"OK","",IF(YEAR(DATE($B$4,1,1)+174)=$B$4,DATE($B$4,1,1)+174,""))</x:f>
        <x:v>46562</x:v>
      </x:c>
      <x:c r="B184" s="2" t="n">
        <x:f>IF(A184="","",IF(AND(INDEX($B$6:$H$6,1,WEEKDAY(A184,2))=0,COUNTIF($E$10:$E$39,A184)=0),1,0))</x:f>
        <x:v>1</x:v>
      </x:c>
      <x:c r="C184" s="2" t="n">
        <x:f>IF(A184="","",IF($B$5="Naturales",1,B184))</x:f>
        <x:v>1</x:v>
      </x:c>
      <x:c r="D184" s="2"/>
      <x:c r="E184" s="2"/>
      <x:c r="F184" s="2"/>
      <x:c r="G184" s="2"/>
      <x:c r="H184" s="2"/>
    </x:row>
    <x:row r="185" ht="25" customHeight="1">
      <x:c r="A185" s="12" t="n">
        <x:f>IF($B$7&lt;&gt;"OK","",IF(YEAR(DATE($B$4,1,1)+175)=$B$4,DATE($B$4,1,1)+175,""))</x:f>
        <x:v>46563</x:v>
      </x:c>
      <x:c r="B185" s="2" t="n">
        <x:f>IF(A185="","",IF(AND(INDEX($B$6:$H$6,1,WEEKDAY(A185,2))=0,COUNTIF($E$10:$E$39,A185)=0),1,0))</x:f>
        <x:v>1</x:v>
      </x:c>
      <x:c r="C185" s="2" t="n">
        <x:f>IF(A185="","",IF($B$5="Naturales",1,B185))</x:f>
        <x:v>1</x:v>
      </x:c>
      <x:c r="D185" s="2"/>
      <x:c r="E185" s="2"/>
      <x:c r="F185" s="2"/>
      <x:c r="G185" s="2"/>
      <x:c r="H185" s="2"/>
    </x:row>
    <x:row r="186" ht="25" customHeight="1">
      <x:c r="A186" s="12" t="n">
        <x:f>IF($B$7&lt;&gt;"OK","",IF(YEAR(DATE($B$4,1,1)+176)=$B$4,DATE($B$4,1,1)+176,""))</x:f>
        <x:v>46564</x:v>
      </x:c>
      <x:c r="B186" s="2" t="n">
        <x:f>IF(A186="","",IF(AND(INDEX($B$6:$H$6,1,WEEKDAY(A186,2))=0,COUNTIF($E$10:$E$39,A186)=0),1,0))</x:f>
        <x:v>0</x:v>
      </x:c>
      <x:c r="C186" s="2" t="n">
        <x:f>IF(A186="","",IF($B$5="Naturales",1,B186))</x:f>
        <x:v>0</x:v>
      </x:c>
      <x:c r="D186" s="2"/>
      <x:c r="E186" s="2"/>
      <x:c r="F186" s="2"/>
      <x:c r="G186" s="2"/>
      <x:c r="H186" s="2"/>
    </x:row>
    <x:row r="187" ht="25" customHeight="1">
      <x:c r="A187" s="12" t="n">
        <x:f>IF($B$7&lt;&gt;"OK","",IF(YEAR(DATE($B$4,1,1)+177)=$B$4,DATE($B$4,1,1)+177,""))</x:f>
        <x:v>46565</x:v>
      </x:c>
      <x:c r="B187" s="2" t="n">
        <x:f>IF(A187="","",IF(AND(INDEX($B$6:$H$6,1,WEEKDAY(A187,2))=0,COUNTIF($E$10:$E$39,A187)=0),1,0))</x:f>
        <x:v>0</x:v>
      </x:c>
      <x:c r="C187" s="2" t="n">
        <x:f>IF(A187="","",IF($B$5="Naturales",1,B187))</x:f>
        <x:v>0</x:v>
      </x:c>
      <x:c r="D187" s="2"/>
      <x:c r="E187" s="2"/>
      <x:c r="F187" s="2"/>
      <x:c r="G187" s="2"/>
      <x:c r="H187" s="2"/>
    </x:row>
    <x:row r="188" ht="25" customHeight="1">
      <x:c r="A188" s="12" t="n">
        <x:f>IF($B$7&lt;&gt;"OK","",IF(YEAR(DATE($B$4,1,1)+178)=$B$4,DATE($B$4,1,1)+178,""))</x:f>
        <x:v>46566</x:v>
      </x:c>
      <x:c r="B188" s="2" t="n">
        <x:f>IF(A188="","",IF(AND(INDEX($B$6:$H$6,1,WEEKDAY(A188,2))=0,COUNTIF($E$10:$E$39,A188)=0),1,0))</x:f>
        <x:v>1</x:v>
      </x:c>
      <x:c r="C188" s="2" t="n">
        <x:f>IF(A188="","",IF($B$5="Naturales",1,B188))</x:f>
        <x:v>1</x:v>
      </x:c>
      <x:c r="D188" s="2"/>
      <x:c r="E188" s="2"/>
      <x:c r="F188" s="2"/>
      <x:c r="G188" s="2"/>
      <x:c r="H188" s="2"/>
    </x:row>
    <x:row r="189" ht="25" customHeight="1">
      <x:c r="A189" s="12" t="n">
        <x:f>IF($B$7&lt;&gt;"OK","",IF(YEAR(DATE($B$4,1,1)+179)=$B$4,DATE($B$4,1,1)+179,""))</x:f>
        <x:v>46567</x:v>
      </x:c>
      <x:c r="B189" s="2" t="n">
        <x:f>IF(A189="","",IF(AND(INDEX($B$6:$H$6,1,WEEKDAY(A189,2))=0,COUNTIF($E$10:$E$39,A189)=0),1,0))</x:f>
        <x:v>1</x:v>
      </x:c>
      <x:c r="C189" s="2" t="n">
        <x:f>IF(A189="","",IF($B$5="Naturales",1,B189))</x:f>
        <x:v>1</x:v>
      </x:c>
      <x:c r="D189" s="2"/>
      <x:c r="E189" s="2"/>
      <x:c r="F189" s="2"/>
      <x:c r="G189" s="2"/>
      <x:c r="H189" s="2"/>
    </x:row>
    <x:row r="190" ht="25" customHeight="1">
      <x:c r="A190" s="12" t="n">
        <x:f>IF($B$7&lt;&gt;"OK","",IF(YEAR(DATE($B$4,1,1)+180)=$B$4,DATE($B$4,1,1)+180,""))</x:f>
        <x:v>46568</x:v>
      </x:c>
      <x:c r="B190" s="2" t="n">
        <x:f>IF(A190="","",IF(AND(INDEX($B$6:$H$6,1,WEEKDAY(A190,2))=0,COUNTIF($E$10:$E$39,A190)=0),1,0))</x:f>
        <x:v>1</x:v>
      </x:c>
      <x:c r="C190" s="2" t="n">
        <x:f>IF(A190="","",IF($B$5="Naturales",1,B190))</x:f>
        <x:v>1</x:v>
      </x:c>
      <x:c r="D190" s="2"/>
      <x:c r="E190" s="2"/>
      <x:c r="F190" s="2"/>
      <x:c r="G190" s="2"/>
      <x:c r="H190" s="2"/>
    </x:row>
    <x:row r="191" ht="25" customHeight="1">
      <x:c r="A191" s="12" t="n">
        <x:f>IF($B$7&lt;&gt;"OK","",IF(YEAR(DATE($B$4,1,1)+181)=$B$4,DATE($B$4,1,1)+181,""))</x:f>
        <x:v>46569</x:v>
      </x:c>
      <x:c r="B191" s="2" t="n">
        <x:f>IF(A191="","",IF(AND(INDEX($B$6:$H$6,1,WEEKDAY(A191,2))=0,COUNTIF($E$10:$E$39,A191)=0),1,0))</x:f>
        <x:v>1</x:v>
      </x:c>
      <x:c r="C191" s="2" t="n">
        <x:f>IF(A191="","",IF($B$5="Naturales",1,B191))</x:f>
        <x:v>1</x:v>
      </x:c>
      <x:c r="D191" s="2"/>
      <x:c r="E191" s="2"/>
      <x:c r="F191" s="2"/>
      <x:c r="G191" s="2"/>
      <x:c r="H191" s="2"/>
    </x:row>
    <x:row r="192" ht="25" customHeight="1">
      <x:c r="A192" s="12" t="n">
        <x:f>IF($B$7&lt;&gt;"OK","",IF(YEAR(DATE($B$4,1,1)+182)=$B$4,DATE($B$4,1,1)+182,""))</x:f>
        <x:v>46570</x:v>
      </x:c>
      <x:c r="B192" s="2" t="n">
        <x:f>IF(A192="","",IF(AND(INDEX($B$6:$H$6,1,WEEKDAY(A192,2))=0,COUNTIF($E$10:$E$39,A192)=0),1,0))</x:f>
        <x:v>1</x:v>
      </x:c>
      <x:c r="C192" s="2" t="n">
        <x:f>IF(A192="","",IF($B$5="Naturales",1,B192))</x:f>
        <x:v>1</x:v>
      </x:c>
      <x:c r="D192" s="2"/>
      <x:c r="E192" s="2"/>
      <x:c r="F192" s="2"/>
      <x:c r="G192" s="2"/>
      <x:c r="H192" s="2"/>
    </x:row>
    <x:row r="193" ht="25" customHeight="1">
      <x:c r="A193" s="12" t="n">
        <x:f>IF($B$7&lt;&gt;"OK","",IF(YEAR(DATE($B$4,1,1)+183)=$B$4,DATE($B$4,1,1)+183,""))</x:f>
        <x:v>46571</x:v>
      </x:c>
      <x:c r="B193" s="2" t="n">
        <x:f>IF(A193="","",IF(AND(INDEX($B$6:$H$6,1,WEEKDAY(A193,2))=0,COUNTIF($E$10:$E$39,A193)=0),1,0))</x:f>
        <x:v>0</x:v>
      </x:c>
      <x:c r="C193" s="2" t="n">
        <x:f>IF(A193="","",IF($B$5="Naturales",1,B193))</x:f>
        <x:v>0</x:v>
      </x:c>
      <x:c r="D193" s="2"/>
      <x:c r="E193" s="2"/>
      <x:c r="F193" s="2"/>
      <x:c r="G193" s="2"/>
      <x:c r="H193" s="2"/>
    </x:row>
    <x:row r="194" ht="25" customHeight="1">
      <x:c r="A194" s="12" t="n">
        <x:f>IF($B$7&lt;&gt;"OK","",IF(YEAR(DATE($B$4,1,1)+184)=$B$4,DATE($B$4,1,1)+184,""))</x:f>
        <x:v>46572</x:v>
      </x:c>
      <x:c r="B194" s="2" t="n">
        <x:f>IF(A194="","",IF(AND(INDEX($B$6:$H$6,1,WEEKDAY(A194,2))=0,COUNTIF($E$10:$E$39,A194)=0),1,0))</x:f>
        <x:v>0</x:v>
      </x:c>
      <x:c r="C194" s="2" t="n">
        <x:f>IF(A194="","",IF($B$5="Naturales",1,B194))</x:f>
        <x:v>0</x:v>
      </x:c>
      <x:c r="D194" s="2"/>
      <x:c r="E194" s="2"/>
      <x:c r="F194" s="2"/>
      <x:c r="G194" s="2"/>
      <x:c r="H194" s="2"/>
    </x:row>
    <x:row r="195" ht="25" customHeight="1">
      <x:c r="A195" s="12" t="n">
        <x:f>IF($B$7&lt;&gt;"OK","",IF(YEAR(DATE($B$4,1,1)+185)=$B$4,DATE($B$4,1,1)+185,""))</x:f>
        <x:v>46573</x:v>
      </x:c>
      <x:c r="B195" s="2" t="n">
        <x:f>IF(A195="","",IF(AND(INDEX($B$6:$H$6,1,WEEKDAY(A195,2))=0,COUNTIF($E$10:$E$39,A195)=0),1,0))</x:f>
        <x:v>1</x:v>
      </x:c>
      <x:c r="C195" s="2" t="n">
        <x:f>IF(A195="","",IF($B$5="Naturales",1,B195))</x:f>
        <x:v>1</x:v>
      </x:c>
      <x:c r="D195" s="2"/>
      <x:c r="E195" s="2"/>
      <x:c r="F195" s="2"/>
      <x:c r="G195" s="2"/>
      <x:c r="H195" s="2"/>
    </x:row>
    <x:row r="196" ht="25" customHeight="1">
      <x:c r="A196" s="12" t="n">
        <x:f>IF($B$7&lt;&gt;"OK","",IF(YEAR(DATE($B$4,1,1)+186)=$B$4,DATE($B$4,1,1)+186,""))</x:f>
        <x:v>46574</x:v>
      </x:c>
      <x:c r="B196" s="2" t="n">
        <x:f>IF(A196="","",IF(AND(INDEX($B$6:$H$6,1,WEEKDAY(A196,2))=0,COUNTIF($E$10:$E$39,A196)=0),1,0))</x:f>
        <x:v>1</x:v>
      </x:c>
      <x:c r="C196" s="2" t="n">
        <x:f>IF(A196="","",IF($B$5="Naturales",1,B196))</x:f>
        <x:v>1</x:v>
      </x:c>
      <x:c r="D196" s="2"/>
      <x:c r="E196" s="2"/>
      <x:c r="F196" s="2"/>
      <x:c r="G196" s="2"/>
      <x:c r="H196" s="2"/>
    </x:row>
    <x:row r="197" ht="25" customHeight="1">
      <x:c r="A197" s="12" t="n">
        <x:f>IF($B$7&lt;&gt;"OK","",IF(YEAR(DATE($B$4,1,1)+187)=$B$4,DATE($B$4,1,1)+187,""))</x:f>
        <x:v>46575</x:v>
      </x:c>
      <x:c r="B197" s="2" t="n">
        <x:f>IF(A197="","",IF(AND(INDEX($B$6:$H$6,1,WEEKDAY(A197,2))=0,COUNTIF($E$10:$E$39,A197)=0),1,0))</x:f>
        <x:v>1</x:v>
      </x:c>
      <x:c r="C197" s="2" t="n">
        <x:f>IF(A197="","",IF($B$5="Naturales",1,B197))</x:f>
        <x:v>1</x:v>
      </x:c>
      <x:c r="D197" s="2"/>
      <x:c r="E197" s="2"/>
      <x:c r="F197" s="2"/>
      <x:c r="G197" s="2"/>
      <x:c r="H197" s="2"/>
    </x:row>
    <x:row r="198" ht="25" customHeight="1">
      <x:c r="A198" s="12" t="n">
        <x:f>IF($B$7&lt;&gt;"OK","",IF(YEAR(DATE($B$4,1,1)+188)=$B$4,DATE($B$4,1,1)+188,""))</x:f>
        <x:v>46576</x:v>
      </x:c>
      <x:c r="B198" s="2" t="n">
        <x:f>IF(A198="","",IF(AND(INDEX($B$6:$H$6,1,WEEKDAY(A198,2))=0,COUNTIF($E$10:$E$39,A198)=0),1,0))</x:f>
        <x:v>1</x:v>
      </x:c>
      <x:c r="C198" s="2" t="n">
        <x:f>IF(A198="","",IF($B$5="Naturales",1,B198))</x:f>
        <x:v>1</x:v>
      </x:c>
      <x:c r="D198" s="2"/>
      <x:c r="E198" s="2"/>
      <x:c r="F198" s="2"/>
      <x:c r="G198" s="2"/>
      <x:c r="H198" s="2"/>
    </x:row>
    <x:row r="199" ht="25" customHeight="1">
      <x:c r="A199" s="12" t="n">
        <x:f>IF($B$7&lt;&gt;"OK","",IF(YEAR(DATE($B$4,1,1)+189)=$B$4,DATE($B$4,1,1)+189,""))</x:f>
        <x:v>46577</x:v>
      </x:c>
      <x:c r="B199" s="2" t="n">
        <x:f>IF(A199="","",IF(AND(INDEX($B$6:$H$6,1,WEEKDAY(A199,2))=0,COUNTIF($E$10:$E$39,A199)=0),1,0))</x:f>
        <x:v>1</x:v>
      </x:c>
      <x:c r="C199" s="2" t="n">
        <x:f>IF(A199="","",IF($B$5="Naturales",1,B199))</x:f>
        <x:v>1</x:v>
      </x:c>
      <x:c r="D199" s="2"/>
      <x:c r="E199" s="2"/>
      <x:c r="F199" s="2"/>
      <x:c r="G199" s="2"/>
      <x:c r="H199" s="2"/>
    </x:row>
    <x:row r="200" ht="25" customHeight="1">
      <x:c r="A200" s="12" t="n">
        <x:f>IF($B$7&lt;&gt;"OK","",IF(YEAR(DATE($B$4,1,1)+190)=$B$4,DATE($B$4,1,1)+190,""))</x:f>
        <x:v>46578</x:v>
      </x:c>
      <x:c r="B200" s="2" t="n">
        <x:f>IF(A200="","",IF(AND(INDEX($B$6:$H$6,1,WEEKDAY(A200,2))=0,COUNTIF($E$10:$E$39,A200)=0),1,0))</x:f>
        <x:v>0</x:v>
      </x:c>
      <x:c r="C200" s="2" t="n">
        <x:f>IF(A200="","",IF($B$5="Naturales",1,B200))</x:f>
        <x:v>0</x:v>
      </x:c>
      <x:c r="D200" s="2"/>
      <x:c r="E200" s="2"/>
      <x:c r="F200" s="2"/>
      <x:c r="G200" s="2"/>
      <x:c r="H200" s="2"/>
    </x:row>
    <x:row r="201" ht="25" customHeight="1">
      <x:c r="A201" s="12" t="n">
        <x:f>IF($B$7&lt;&gt;"OK","",IF(YEAR(DATE($B$4,1,1)+191)=$B$4,DATE($B$4,1,1)+191,""))</x:f>
        <x:v>46579</x:v>
      </x:c>
      <x:c r="B201" s="2" t="n">
        <x:f>IF(A201="","",IF(AND(INDEX($B$6:$H$6,1,WEEKDAY(A201,2))=0,COUNTIF($E$10:$E$39,A201)=0),1,0))</x:f>
        <x:v>0</x:v>
      </x:c>
      <x:c r="C201" s="2" t="n">
        <x:f>IF(A201="","",IF($B$5="Naturales",1,B201))</x:f>
        <x:v>0</x:v>
      </x:c>
      <x:c r="D201" s="2"/>
      <x:c r="E201" s="2"/>
      <x:c r="F201" s="2"/>
      <x:c r="G201" s="2"/>
      <x:c r="H201" s="2"/>
    </x:row>
    <x:row r="202" ht="25" customHeight="1">
      <x:c r="A202" s="12" t="n">
        <x:f>IF($B$7&lt;&gt;"OK","",IF(YEAR(DATE($B$4,1,1)+192)=$B$4,DATE($B$4,1,1)+192,""))</x:f>
        <x:v>46580</x:v>
      </x:c>
      <x:c r="B202" s="2" t="n">
        <x:f>IF(A202="","",IF(AND(INDEX($B$6:$H$6,1,WEEKDAY(A202,2))=0,COUNTIF($E$10:$E$39,A202)=0),1,0))</x:f>
        <x:v>1</x:v>
      </x:c>
      <x:c r="C202" s="2" t="n">
        <x:f>IF(A202="","",IF($B$5="Naturales",1,B202))</x:f>
        <x:v>1</x:v>
      </x:c>
      <x:c r="D202" s="2"/>
      <x:c r="E202" s="2"/>
      <x:c r="F202" s="2"/>
      <x:c r="G202" s="2"/>
      <x:c r="H202" s="2"/>
    </x:row>
    <x:row r="203" ht="25" customHeight="1">
      <x:c r="A203" s="12" t="n">
        <x:f>IF($B$7&lt;&gt;"OK","",IF(YEAR(DATE($B$4,1,1)+193)=$B$4,DATE($B$4,1,1)+193,""))</x:f>
        <x:v>46581</x:v>
      </x:c>
      <x:c r="B203" s="2" t="n">
        <x:f>IF(A203="","",IF(AND(INDEX($B$6:$H$6,1,WEEKDAY(A203,2))=0,COUNTIF($E$10:$E$39,A203)=0),1,0))</x:f>
        <x:v>1</x:v>
      </x:c>
      <x:c r="C203" s="2" t="n">
        <x:f>IF(A203="","",IF($B$5="Naturales",1,B203))</x:f>
        <x:v>1</x:v>
      </x:c>
      <x:c r="D203" s="2"/>
      <x:c r="E203" s="2"/>
      <x:c r="F203" s="2"/>
      <x:c r="G203" s="2"/>
      <x:c r="H203" s="2"/>
    </x:row>
    <x:row r="204" ht="25" customHeight="1">
      <x:c r="A204" s="12" t="n">
        <x:f>IF($B$7&lt;&gt;"OK","",IF(YEAR(DATE($B$4,1,1)+194)=$B$4,DATE($B$4,1,1)+194,""))</x:f>
        <x:v>46582</x:v>
      </x:c>
      <x:c r="B204" s="2" t="n">
        <x:f>IF(A204="","",IF(AND(INDEX($B$6:$H$6,1,WEEKDAY(A204,2))=0,COUNTIF($E$10:$E$39,A204)=0),1,0))</x:f>
        <x:v>1</x:v>
      </x:c>
      <x:c r="C204" s="2" t="n">
        <x:f>IF(A204="","",IF($B$5="Naturales",1,B204))</x:f>
        <x:v>1</x:v>
      </x:c>
      <x:c r="D204" s="2"/>
      <x:c r="E204" s="2"/>
      <x:c r="F204" s="2"/>
      <x:c r="G204" s="2"/>
      <x:c r="H204" s="2"/>
    </x:row>
    <x:row r="205" ht="25" customHeight="1">
      <x:c r="A205" s="12" t="n">
        <x:f>IF($B$7&lt;&gt;"OK","",IF(YEAR(DATE($B$4,1,1)+195)=$B$4,DATE($B$4,1,1)+195,""))</x:f>
        <x:v>46583</x:v>
      </x:c>
      <x:c r="B205" s="2" t="n">
        <x:f>IF(A205="","",IF(AND(INDEX($B$6:$H$6,1,WEEKDAY(A205,2))=0,COUNTIF($E$10:$E$39,A205)=0),1,0))</x:f>
        <x:v>1</x:v>
      </x:c>
      <x:c r="C205" s="2" t="n">
        <x:f>IF(A205="","",IF($B$5="Naturales",1,B205))</x:f>
        <x:v>1</x:v>
      </x:c>
      <x:c r="D205" s="2"/>
      <x:c r="E205" s="2"/>
      <x:c r="F205" s="2"/>
      <x:c r="G205" s="2"/>
      <x:c r="H205" s="2"/>
    </x:row>
    <x:row r="206" ht="25" customHeight="1">
      <x:c r="A206" s="12" t="n">
        <x:f>IF($B$7&lt;&gt;"OK","",IF(YEAR(DATE($B$4,1,1)+196)=$B$4,DATE($B$4,1,1)+196,""))</x:f>
        <x:v>46584</x:v>
      </x:c>
      <x:c r="B206" s="2" t="n">
        <x:f>IF(A206="","",IF(AND(INDEX($B$6:$H$6,1,WEEKDAY(A206,2))=0,COUNTIF($E$10:$E$39,A206)=0),1,0))</x:f>
        <x:v>1</x:v>
      </x:c>
      <x:c r="C206" s="2" t="n">
        <x:f>IF(A206="","",IF($B$5="Naturales",1,B206))</x:f>
        <x:v>1</x:v>
      </x:c>
      <x:c r="D206" s="2"/>
      <x:c r="E206" s="2"/>
      <x:c r="F206" s="2"/>
      <x:c r="G206" s="2"/>
      <x:c r="H206" s="2"/>
    </x:row>
    <x:row r="207" ht="25" customHeight="1">
      <x:c r="A207" s="12" t="n">
        <x:f>IF($B$7&lt;&gt;"OK","",IF(YEAR(DATE($B$4,1,1)+197)=$B$4,DATE($B$4,1,1)+197,""))</x:f>
        <x:v>46585</x:v>
      </x:c>
      <x:c r="B207" s="2" t="n">
        <x:f>IF(A207="","",IF(AND(INDEX($B$6:$H$6,1,WEEKDAY(A207,2))=0,COUNTIF($E$10:$E$39,A207)=0),1,0))</x:f>
        <x:v>0</x:v>
      </x:c>
      <x:c r="C207" s="2" t="n">
        <x:f>IF(A207="","",IF($B$5="Naturales",1,B207))</x:f>
        <x:v>0</x:v>
      </x:c>
      <x:c r="D207" s="2"/>
      <x:c r="E207" s="2"/>
      <x:c r="F207" s="2"/>
      <x:c r="G207" s="2"/>
      <x:c r="H207" s="2"/>
    </x:row>
    <x:row r="208" ht="25" customHeight="1">
      <x:c r="A208" s="12" t="n">
        <x:f>IF($B$7&lt;&gt;"OK","",IF(YEAR(DATE($B$4,1,1)+198)=$B$4,DATE($B$4,1,1)+198,""))</x:f>
        <x:v>46586</x:v>
      </x:c>
      <x:c r="B208" s="2" t="n">
        <x:f>IF(A208="","",IF(AND(INDEX($B$6:$H$6,1,WEEKDAY(A208,2))=0,COUNTIF($E$10:$E$39,A208)=0),1,0))</x:f>
        <x:v>0</x:v>
      </x:c>
      <x:c r="C208" s="2" t="n">
        <x:f>IF(A208="","",IF($B$5="Naturales",1,B208))</x:f>
        <x:v>0</x:v>
      </x:c>
      <x:c r="D208" s="2"/>
      <x:c r="E208" s="2"/>
      <x:c r="F208" s="2"/>
      <x:c r="G208" s="2"/>
      <x:c r="H208" s="2"/>
    </x:row>
    <x:row r="209" ht="25" customHeight="1">
      <x:c r="A209" s="12" t="n">
        <x:f>IF($B$7&lt;&gt;"OK","",IF(YEAR(DATE($B$4,1,1)+199)=$B$4,DATE($B$4,1,1)+199,""))</x:f>
        <x:v>46587</x:v>
      </x:c>
      <x:c r="B209" s="2" t="n">
        <x:f>IF(A209="","",IF(AND(INDEX($B$6:$H$6,1,WEEKDAY(A209,2))=0,COUNTIF($E$10:$E$39,A209)=0),1,0))</x:f>
        <x:v>1</x:v>
      </x:c>
      <x:c r="C209" s="2" t="n">
        <x:f>IF(A209="","",IF($B$5="Naturales",1,B209))</x:f>
        <x:v>1</x:v>
      </x:c>
      <x:c r="D209" s="2"/>
      <x:c r="E209" s="2"/>
      <x:c r="F209" s="2"/>
      <x:c r="G209" s="2"/>
      <x:c r="H209" s="2"/>
    </x:row>
    <x:row r="210" ht="25" customHeight="1">
      <x:c r="A210" s="12" t="n">
        <x:f>IF($B$7&lt;&gt;"OK","",IF(YEAR(DATE($B$4,1,1)+200)=$B$4,DATE($B$4,1,1)+200,""))</x:f>
        <x:v>46588</x:v>
      </x:c>
      <x:c r="B210" s="2" t="n">
        <x:f>IF(A210="","",IF(AND(INDEX($B$6:$H$6,1,WEEKDAY(A210,2))=0,COUNTIF($E$10:$E$39,A210)=0),1,0))</x:f>
        <x:v>1</x:v>
      </x:c>
      <x:c r="C210" s="2" t="n">
        <x:f>IF(A210="","",IF($B$5="Naturales",1,B210))</x:f>
        <x:v>1</x:v>
      </x:c>
      <x:c r="D210" s="2"/>
      <x:c r="E210" s="2"/>
      <x:c r="F210" s="2"/>
      <x:c r="G210" s="2"/>
      <x:c r="H210" s="2"/>
    </x:row>
    <x:row r="211" ht="25" customHeight="1">
      <x:c r="A211" s="12" t="n">
        <x:f>IF($B$7&lt;&gt;"OK","",IF(YEAR(DATE($B$4,1,1)+201)=$B$4,DATE($B$4,1,1)+201,""))</x:f>
        <x:v>46589</x:v>
      </x:c>
      <x:c r="B211" s="2" t="n">
        <x:f>IF(A211="","",IF(AND(INDEX($B$6:$H$6,1,WEEKDAY(A211,2))=0,COUNTIF($E$10:$E$39,A211)=0),1,0))</x:f>
        <x:v>1</x:v>
      </x:c>
      <x:c r="C211" s="2" t="n">
        <x:f>IF(A211="","",IF($B$5="Naturales",1,B211))</x:f>
        <x:v>1</x:v>
      </x:c>
      <x:c r="D211" s="2"/>
      <x:c r="E211" s="2"/>
      <x:c r="F211" s="2"/>
      <x:c r="G211" s="2"/>
      <x:c r="H211" s="2"/>
    </x:row>
    <x:row r="212" ht="25" customHeight="1">
      <x:c r="A212" s="12" t="n">
        <x:f>IF($B$7&lt;&gt;"OK","",IF(YEAR(DATE($B$4,1,1)+202)=$B$4,DATE($B$4,1,1)+202,""))</x:f>
        <x:v>46590</x:v>
      </x:c>
      <x:c r="B212" s="2" t="n">
        <x:f>IF(A212="","",IF(AND(INDEX($B$6:$H$6,1,WEEKDAY(A212,2))=0,COUNTIF($E$10:$E$39,A212)=0),1,0))</x:f>
        <x:v>1</x:v>
      </x:c>
      <x:c r="C212" s="2" t="n">
        <x:f>IF(A212="","",IF($B$5="Naturales",1,B212))</x:f>
        <x:v>1</x:v>
      </x:c>
      <x:c r="D212" s="2"/>
      <x:c r="E212" s="2"/>
      <x:c r="F212" s="2"/>
      <x:c r="G212" s="2"/>
      <x:c r="H212" s="2"/>
    </x:row>
    <x:row r="213" ht="25" customHeight="1">
      <x:c r="A213" s="12" t="n">
        <x:f>IF($B$7&lt;&gt;"OK","",IF(YEAR(DATE($B$4,1,1)+203)=$B$4,DATE($B$4,1,1)+203,""))</x:f>
        <x:v>46591</x:v>
      </x:c>
      <x:c r="B213" s="2" t="n">
        <x:f>IF(A213="","",IF(AND(INDEX($B$6:$H$6,1,WEEKDAY(A213,2))=0,COUNTIF($E$10:$E$39,A213)=0),1,0))</x:f>
        <x:v>1</x:v>
      </x:c>
      <x:c r="C213" s="2" t="n">
        <x:f>IF(A213="","",IF($B$5="Naturales",1,B213))</x:f>
        <x:v>1</x:v>
      </x:c>
      <x:c r="D213" s="2"/>
      <x:c r="E213" s="2"/>
      <x:c r="F213" s="2"/>
      <x:c r="G213" s="2"/>
      <x:c r="H213" s="2"/>
    </x:row>
    <x:row r="214" ht="25" customHeight="1">
      <x:c r="A214" s="12" t="n">
        <x:f>IF($B$7&lt;&gt;"OK","",IF(YEAR(DATE($B$4,1,1)+204)=$B$4,DATE($B$4,1,1)+204,""))</x:f>
        <x:v>46592</x:v>
      </x:c>
      <x:c r="B214" s="2" t="n">
        <x:f>IF(A214="","",IF(AND(INDEX($B$6:$H$6,1,WEEKDAY(A214,2))=0,COUNTIF($E$10:$E$39,A214)=0),1,0))</x:f>
        <x:v>0</x:v>
      </x:c>
      <x:c r="C214" s="2" t="n">
        <x:f>IF(A214="","",IF($B$5="Naturales",1,B214))</x:f>
        <x:v>0</x:v>
      </x:c>
      <x:c r="D214" s="2"/>
      <x:c r="E214" s="2"/>
      <x:c r="F214" s="2"/>
      <x:c r="G214" s="2"/>
      <x:c r="H214" s="2"/>
    </x:row>
    <x:row r="215" ht="25" customHeight="1">
      <x:c r="A215" s="12" t="n">
        <x:f>IF($B$7&lt;&gt;"OK","",IF(YEAR(DATE($B$4,1,1)+205)=$B$4,DATE($B$4,1,1)+205,""))</x:f>
        <x:v>46593</x:v>
      </x:c>
      <x:c r="B215" s="2" t="n">
        <x:f>IF(A215="","",IF(AND(INDEX($B$6:$H$6,1,WEEKDAY(A215,2))=0,COUNTIF($E$10:$E$39,A215)=0),1,0))</x:f>
        <x:v>0</x:v>
      </x:c>
      <x:c r="C215" s="2" t="n">
        <x:f>IF(A215="","",IF($B$5="Naturales",1,B215))</x:f>
        <x:v>0</x:v>
      </x:c>
      <x:c r="D215" s="2"/>
      <x:c r="E215" s="2"/>
      <x:c r="F215" s="2"/>
      <x:c r="G215" s="2"/>
      <x:c r="H215" s="2"/>
    </x:row>
    <x:row r="216" ht="25" customHeight="1">
      <x:c r="A216" s="12" t="n">
        <x:f>IF($B$7&lt;&gt;"OK","",IF(YEAR(DATE($B$4,1,1)+206)=$B$4,DATE($B$4,1,1)+206,""))</x:f>
        <x:v>46594</x:v>
      </x:c>
      <x:c r="B216" s="2" t="n">
        <x:f>IF(A216="","",IF(AND(INDEX($B$6:$H$6,1,WEEKDAY(A216,2))=0,COUNTIF($E$10:$E$39,A216)=0),1,0))</x:f>
        <x:v>1</x:v>
      </x:c>
      <x:c r="C216" s="2" t="n">
        <x:f>IF(A216="","",IF($B$5="Naturales",1,B216))</x:f>
        <x:v>1</x:v>
      </x:c>
      <x:c r="D216" s="2"/>
      <x:c r="E216" s="2"/>
      <x:c r="F216" s="2"/>
      <x:c r="G216" s="2"/>
      <x:c r="H216" s="2"/>
    </x:row>
    <x:row r="217" ht="25" customHeight="1">
      <x:c r="A217" s="12" t="n">
        <x:f>IF($B$7&lt;&gt;"OK","",IF(YEAR(DATE($B$4,1,1)+207)=$B$4,DATE($B$4,1,1)+207,""))</x:f>
        <x:v>46595</x:v>
      </x:c>
      <x:c r="B217" s="2" t="n">
        <x:f>IF(A217="","",IF(AND(INDEX($B$6:$H$6,1,WEEKDAY(A217,2))=0,COUNTIF($E$10:$E$39,A217)=0),1,0))</x:f>
        <x:v>1</x:v>
      </x:c>
      <x:c r="C217" s="2" t="n">
        <x:f>IF(A217="","",IF($B$5="Naturales",1,B217))</x:f>
        <x:v>1</x:v>
      </x:c>
      <x:c r="D217" s="2"/>
      <x:c r="E217" s="2"/>
      <x:c r="F217" s="2"/>
      <x:c r="G217" s="2"/>
      <x:c r="H217" s="2"/>
    </x:row>
    <x:row r="218" ht="25" customHeight="1">
      <x:c r="A218" s="12" t="n">
        <x:f>IF($B$7&lt;&gt;"OK","",IF(YEAR(DATE($B$4,1,1)+208)=$B$4,DATE($B$4,1,1)+208,""))</x:f>
        <x:v>46596</x:v>
      </x:c>
      <x:c r="B218" s="2" t="n">
        <x:f>IF(A218="","",IF(AND(INDEX($B$6:$H$6,1,WEEKDAY(A218,2))=0,COUNTIF($E$10:$E$39,A218)=0),1,0))</x:f>
        <x:v>1</x:v>
      </x:c>
      <x:c r="C218" s="2" t="n">
        <x:f>IF(A218="","",IF($B$5="Naturales",1,B218))</x:f>
        <x:v>1</x:v>
      </x:c>
      <x:c r="D218" s="2"/>
      <x:c r="E218" s="2"/>
      <x:c r="F218" s="2"/>
      <x:c r="G218" s="2"/>
      <x:c r="H218" s="2"/>
    </x:row>
    <x:row r="219" ht="25" customHeight="1">
      <x:c r="A219" s="12" t="n">
        <x:f>IF($B$7&lt;&gt;"OK","",IF(YEAR(DATE($B$4,1,1)+209)=$B$4,DATE($B$4,1,1)+209,""))</x:f>
        <x:v>46597</x:v>
      </x:c>
      <x:c r="B219" s="2" t="n">
        <x:f>IF(A219="","",IF(AND(INDEX($B$6:$H$6,1,WEEKDAY(A219,2))=0,COUNTIF($E$10:$E$39,A219)=0),1,0))</x:f>
        <x:v>1</x:v>
      </x:c>
      <x:c r="C219" s="2" t="n">
        <x:f>IF(A219="","",IF($B$5="Naturales",1,B219))</x:f>
        <x:v>1</x:v>
      </x:c>
      <x:c r="D219" s="2"/>
      <x:c r="E219" s="2"/>
      <x:c r="F219" s="2"/>
      <x:c r="G219" s="2"/>
      <x:c r="H219" s="2"/>
    </x:row>
    <x:row r="220" ht="25" customHeight="1">
      <x:c r="A220" s="12" t="n">
        <x:f>IF($B$7&lt;&gt;"OK","",IF(YEAR(DATE($B$4,1,1)+210)=$B$4,DATE($B$4,1,1)+210,""))</x:f>
        <x:v>46598</x:v>
      </x:c>
      <x:c r="B220" s="2" t="n">
        <x:f>IF(A220="","",IF(AND(INDEX($B$6:$H$6,1,WEEKDAY(A220,2))=0,COUNTIF($E$10:$E$39,A220)=0),1,0))</x:f>
        <x:v>1</x:v>
      </x:c>
      <x:c r="C220" s="2" t="n">
        <x:f>IF(A220="","",IF($B$5="Naturales",1,B220))</x:f>
        <x:v>1</x:v>
      </x:c>
      <x:c r="D220" s="2"/>
      <x:c r="E220" s="2"/>
      <x:c r="F220" s="2"/>
      <x:c r="G220" s="2"/>
      <x:c r="H220" s="2"/>
    </x:row>
    <x:row r="221" ht="25" customHeight="1">
      <x:c r="A221" s="12" t="n">
        <x:f>IF($B$7&lt;&gt;"OK","",IF(YEAR(DATE($B$4,1,1)+211)=$B$4,DATE($B$4,1,1)+211,""))</x:f>
        <x:v>46599</x:v>
      </x:c>
      <x:c r="B221" s="2" t="n">
        <x:f>IF(A221="","",IF(AND(INDEX($B$6:$H$6,1,WEEKDAY(A221,2))=0,COUNTIF($E$10:$E$39,A221)=0),1,0))</x:f>
        <x:v>0</x:v>
      </x:c>
      <x:c r="C221" s="2" t="n">
        <x:f>IF(A221="","",IF($B$5="Naturales",1,B221))</x:f>
        <x:v>0</x:v>
      </x:c>
      <x:c r="D221" s="2"/>
      <x:c r="E221" s="2"/>
      <x:c r="F221" s="2"/>
      <x:c r="G221" s="2"/>
      <x:c r="H221" s="2"/>
    </x:row>
    <x:row r="222" ht="25" customHeight="1">
      <x:c r="A222" s="12" t="n">
        <x:f>IF($B$7&lt;&gt;"OK","",IF(YEAR(DATE($B$4,1,1)+212)=$B$4,DATE($B$4,1,1)+212,""))</x:f>
        <x:v>46600</x:v>
      </x:c>
      <x:c r="B222" s="2" t="n">
        <x:f>IF(A222="","",IF(AND(INDEX($B$6:$H$6,1,WEEKDAY(A222,2))=0,COUNTIF($E$10:$E$39,A222)=0),1,0))</x:f>
        <x:v>0</x:v>
      </x:c>
      <x:c r="C222" s="2" t="n">
        <x:f>IF(A222="","",IF($B$5="Naturales",1,B222))</x:f>
        <x:v>0</x:v>
      </x:c>
      <x:c r="D222" s="2"/>
      <x:c r="E222" s="2"/>
      <x:c r="F222" s="2"/>
      <x:c r="G222" s="2"/>
      <x:c r="H222" s="2"/>
    </x:row>
    <x:row r="223" ht="25" customHeight="1">
      <x:c r="A223" s="12" t="n">
        <x:f>IF($B$7&lt;&gt;"OK","",IF(YEAR(DATE($B$4,1,1)+213)=$B$4,DATE($B$4,1,1)+213,""))</x:f>
        <x:v>46601</x:v>
      </x:c>
      <x:c r="B223" s="2" t="n">
        <x:f>IF(A223="","",IF(AND(INDEX($B$6:$H$6,1,WEEKDAY(A223,2))=0,COUNTIF($E$10:$E$39,A223)=0),1,0))</x:f>
        <x:v>1</x:v>
      </x:c>
      <x:c r="C223" s="2" t="n">
        <x:f>IF(A223="","",IF($B$5="Naturales",1,B223))</x:f>
        <x:v>1</x:v>
      </x:c>
      <x:c r="D223" s="2"/>
      <x:c r="E223" s="2"/>
      <x:c r="F223" s="2"/>
      <x:c r="G223" s="2"/>
      <x:c r="H223" s="2"/>
    </x:row>
    <x:row r="224" ht="25" customHeight="1">
      <x:c r="A224" s="12" t="n">
        <x:f>IF($B$7&lt;&gt;"OK","",IF(YEAR(DATE($B$4,1,1)+214)=$B$4,DATE($B$4,1,1)+214,""))</x:f>
        <x:v>46602</x:v>
      </x:c>
      <x:c r="B224" s="2" t="n">
        <x:f>IF(A224="","",IF(AND(INDEX($B$6:$H$6,1,WEEKDAY(A224,2))=0,COUNTIF($E$10:$E$39,A224)=0),1,0))</x:f>
        <x:v>1</x:v>
      </x:c>
      <x:c r="C224" s="2" t="n">
        <x:f>IF(A224="","",IF($B$5="Naturales",1,B224))</x:f>
        <x:v>1</x:v>
      </x:c>
      <x:c r="D224" s="2"/>
      <x:c r="E224" s="2"/>
      <x:c r="F224" s="2"/>
      <x:c r="G224" s="2"/>
      <x:c r="H224" s="2"/>
    </x:row>
    <x:row r="225" ht="25" customHeight="1">
      <x:c r="A225" s="12" t="n">
        <x:f>IF($B$7&lt;&gt;"OK","",IF(YEAR(DATE($B$4,1,1)+215)=$B$4,DATE($B$4,1,1)+215,""))</x:f>
        <x:v>46603</x:v>
      </x:c>
      <x:c r="B225" s="2" t="n">
        <x:f>IF(A225="","",IF(AND(INDEX($B$6:$H$6,1,WEEKDAY(A225,2))=0,COUNTIF($E$10:$E$39,A225)=0),1,0))</x:f>
        <x:v>1</x:v>
      </x:c>
      <x:c r="C225" s="2" t="n">
        <x:f>IF(A225="","",IF($B$5="Naturales",1,B225))</x:f>
        <x:v>1</x:v>
      </x:c>
      <x:c r="D225" s="2"/>
      <x:c r="E225" s="2"/>
      <x:c r="F225" s="2"/>
      <x:c r="G225" s="2"/>
      <x:c r="H225" s="2"/>
    </x:row>
    <x:row r="226" ht="25" customHeight="1">
      <x:c r="A226" s="12" t="n">
        <x:f>IF($B$7&lt;&gt;"OK","",IF(YEAR(DATE($B$4,1,1)+216)=$B$4,DATE($B$4,1,1)+216,""))</x:f>
        <x:v>46604</x:v>
      </x:c>
      <x:c r="B226" s="2" t="n">
        <x:f>IF(A226="","",IF(AND(INDEX($B$6:$H$6,1,WEEKDAY(A226,2))=0,COUNTIF($E$10:$E$39,A226)=0),1,0))</x:f>
        <x:v>1</x:v>
      </x:c>
      <x:c r="C226" s="2" t="n">
        <x:f>IF(A226="","",IF($B$5="Naturales",1,B226))</x:f>
        <x:v>1</x:v>
      </x:c>
      <x:c r="D226" s="2"/>
      <x:c r="E226" s="2"/>
      <x:c r="F226" s="2"/>
      <x:c r="G226" s="2"/>
      <x:c r="H226" s="2"/>
    </x:row>
    <x:row r="227" ht="25" customHeight="1">
      <x:c r="A227" s="12" t="n">
        <x:f>IF($B$7&lt;&gt;"OK","",IF(YEAR(DATE($B$4,1,1)+217)=$B$4,DATE($B$4,1,1)+217,""))</x:f>
        <x:v>46605</x:v>
      </x:c>
      <x:c r="B227" s="2" t="n">
        <x:f>IF(A227="","",IF(AND(INDEX($B$6:$H$6,1,WEEKDAY(A227,2))=0,COUNTIF($E$10:$E$39,A227)=0),1,0))</x:f>
        <x:v>1</x:v>
      </x:c>
      <x:c r="C227" s="2" t="n">
        <x:f>IF(A227="","",IF($B$5="Naturales",1,B227))</x:f>
        <x:v>1</x:v>
      </x:c>
      <x:c r="D227" s="2"/>
      <x:c r="E227" s="2"/>
      <x:c r="F227" s="2"/>
      <x:c r="G227" s="2"/>
      <x:c r="H227" s="2"/>
    </x:row>
    <x:row r="228" ht="25" customHeight="1">
      <x:c r="A228" s="12" t="n">
        <x:f>IF($B$7&lt;&gt;"OK","",IF(YEAR(DATE($B$4,1,1)+218)=$B$4,DATE($B$4,1,1)+218,""))</x:f>
        <x:v>46606</x:v>
      </x:c>
      <x:c r="B228" s="2" t="n">
        <x:f>IF(A228="","",IF(AND(INDEX($B$6:$H$6,1,WEEKDAY(A228,2))=0,COUNTIF($E$10:$E$39,A228)=0),1,0))</x:f>
        <x:v>0</x:v>
      </x:c>
      <x:c r="C228" s="2" t="n">
        <x:f>IF(A228="","",IF($B$5="Naturales",1,B228))</x:f>
        <x:v>0</x:v>
      </x:c>
      <x:c r="D228" s="2"/>
      <x:c r="E228" s="2"/>
      <x:c r="F228" s="2"/>
      <x:c r="G228" s="2"/>
      <x:c r="H228" s="2"/>
    </x:row>
    <x:row r="229" ht="25" customHeight="1">
      <x:c r="A229" s="12" t="n">
        <x:f>IF($B$7&lt;&gt;"OK","",IF(YEAR(DATE($B$4,1,1)+219)=$B$4,DATE($B$4,1,1)+219,""))</x:f>
        <x:v>46607</x:v>
      </x:c>
      <x:c r="B229" s="2" t="n">
        <x:f>IF(A229="","",IF(AND(INDEX($B$6:$H$6,1,WEEKDAY(A229,2))=0,COUNTIF($E$10:$E$39,A229)=0),1,0))</x:f>
        <x:v>0</x:v>
      </x:c>
      <x:c r="C229" s="2" t="n">
        <x:f>IF(A229="","",IF($B$5="Naturales",1,B229))</x:f>
        <x:v>0</x:v>
      </x:c>
      <x:c r="D229" s="2"/>
      <x:c r="E229" s="2"/>
      <x:c r="F229" s="2"/>
      <x:c r="G229" s="2"/>
      <x:c r="H229" s="2"/>
    </x:row>
    <x:row r="230" ht="25" customHeight="1">
      <x:c r="A230" s="12" t="n">
        <x:f>IF($B$7&lt;&gt;"OK","",IF(YEAR(DATE($B$4,1,1)+220)=$B$4,DATE($B$4,1,1)+220,""))</x:f>
        <x:v>46608</x:v>
      </x:c>
      <x:c r="B230" s="2" t="n">
        <x:f>IF(A230="","",IF(AND(INDEX($B$6:$H$6,1,WEEKDAY(A230,2))=0,COUNTIF($E$10:$E$39,A230)=0),1,0))</x:f>
        <x:v>1</x:v>
      </x:c>
      <x:c r="C230" s="2" t="n">
        <x:f>IF(A230="","",IF($B$5="Naturales",1,B230))</x:f>
        <x:v>1</x:v>
      </x:c>
      <x:c r="D230" s="2"/>
      <x:c r="E230" s="2"/>
      <x:c r="F230" s="2"/>
      <x:c r="G230" s="2"/>
      <x:c r="H230" s="2"/>
    </x:row>
    <x:row r="231" ht="25" customHeight="1">
      <x:c r="A231" s="12" t="n">
        <x:f>IF($B$7&lt;&gt;"OK","",IF(YEAR(DATE($B$4,1,1)+221)=$B$4,DATE($B$4,1,1)+221,""))</x:f>
        <x:v>46609</x:v>
      </x:c>
      <x:c r="B231" s="2" t="n">
        <x:f>IF(A231="","",IF(AND(INDEX($B$6:$H$6,1,WEEKDAY(A231,2))=0,COUNTIF($E$10:$E$39,A231)=0),1,0))</x:f>
        <x:v>1</x:v>
      </x:c>
      <x:c r="C231" s="2" t="n">
        <x:f>IF(A231="","",IF($B$5="Naturales",1,B231))</x:f>
        <x:v>1</x:v>
      </x:c>
      <x:c r="D231" s="2"/>
      <x:c r="E231" s="2"/>
      <x:c r="F231" s="2"/>
      <x:c r="G231" s="2"/>
      <x:c r="H231" s="2"/>
    </x:row>
    <x:row r="232" ht="25" customHeight="1">
      <x:c r="A232" s="12" t="n">
        <x:f>IF($B$7&lt;&gt;"OK","",IF(YEAR(DATE($B$4,1,1)+222)=$B$4,DATE($B$4,1,1)+222,""))</x:f>
        <x:v>46610</x:v>
      </x:c>
      <x:c r="B232" s="2" t="n">
        <x:f>IF(A232="","",IF(AND(INDEX($B$6:$H$6,1,WEEKDAY(A232,2))=0,COUNTIF($E$10:$E$39,A232)=0),1,0))</x:f>
        <x:v>1</x:v>
      </x:c>
      <x:c r="C232" s="2" t="n">
        <x:f>IF(A232="","",IF($B$5="Naturales",1,B232))</x:f>
        <x:v>1</x:v>
      </x:c>
      <x:c r="D232" s="2"/>
      <x:c r="E232" s="2"/>
      <x:c r="F232" s="2"/>
      <x:c r="G232" s="2"/>
      <x:c r="H232" s="2"/>
    </x:row>
    <x:row r="233" ht="25" customHeight="1">
      <x:c r="A233" s="12" t="n">
        <x:f>IF($B$7&lt;&gt;"OK","",IF(YEAR(DATE($B$4,1,1)+223)=$B$4,DATE($B$4,1,1)+223,""))</x:f>
        <x:v>46611</x:v>
      </x:c>
      <x:c r="B233" s="2" t="n">
        <x:f>IF(A233="","",IF(AND(INDEX($B$6:$H$6,1,WEEKDAY(A233,2))=0,COUNTIF($E$10:$E$39,A233)=0),1,0))</x:f>
        <x:v>1</x:v>
      </x:c>
      <x:c r="C233" s="2" t="n">
        <x:f>IF(A233="","",IF($B$5="Naturales",1,B233))</x:f>
        <x:v>1</x:v>
      </x:c>
      <x:c r="D233" s="2"/>
      <x:c r="E233" s="2"/>
      <x:c r="F233" s="2"/>
      <x:c r="G233" s="2"/>
      <x:c r="H233" s="2"/>
    </x:row>
    <x:row r="234" ht="25" customHeight="1">
      <x:c r="A234" s="12" t="n">
        <x:f>IF($B$7&lt;&gt;"OK","",IF(YEAR(DATE($B$4,1,1)+224)=$B$4,DATE($B$4,1,1)+224,""))</x:f>
        <x:v>46612</x:v>
      </x:c>
      <x:c r="B234" s="2" t="n">
        <x:f>IF(A234="","",IF(AND(INDEX($B$6:$H$6,1,WEEKDAY(A234,2))=0,COUNTIF($E$10:$E$39,A234)=0),1,0))</x:f>
        <x:v>1</x:v>
      </x:c>
      <x:c r="C234" s="2" t="n">
        <x:f>IF(A234="","",IF($B$5="Naturales",1,B234))</x:f>
        <x:v>1</x:v>
      </x:c>
      <x:c r="D234" s="2"/>
      <x:c r="E234" s="2"/>
      <x:c r="F234" s="2"/>
      <x:c r="G234" s="2"/>
      <x:c r="H234" s="2"/>
    </x:row>
    <x:row r="235" ht="25" customHeight="1">
      <x:c r="A235" s="12" t="n">
        <x:f>IF($B$7&lt;&gt;"OK","",IF(YEAR(DATE($B$4,1,1)+225)=$B$4,DATE($B$4,1,1)+225,""))</x:f>
        <x:v>46613</x:v>
      </x:c>
      <x:c r="B235" s="2" t="n">
        <x:f>IF(A235="","",IF(AND(INDEX($B$6:$H$6,1,WEEKDAY(A235,2))=0,COUNTIF($E$10:$E$39,A235)=0),1,0))</x:f>
        <x:v>0</x:v>
      </x:c>
      <x:c r="C235" s="2" t="n">
        <x:f>IF(A235="","",IF($B$5="Naturales",1,B235))</x:f>
        <x:v>0</x:v>
      </x:c>
      <x:c r="D235" s="2"/>
      <x:c r="E235" s="2"/>
      <x:c r="F235" s="2"/>
      <x:c r="G235" s="2"/>
      <x:c r="H235" s="2"/>
    </x:row>
    <x:row r="236" ht="25" customHeight="1">
      <x:c r="A236" s="12" t="n">
        <x:f>IF($B$7&lt;&gt;"OK","",IF(YEAR(DATE($B$4,1,1)+226)=$B$4,DATE($B$4,1,1)+226,""))</x:f>
        <x:v>46614</x:v>
      </x:c>
      <x:c r="B236" s="2" t="n">
        <x:f>IF(A236="","",IF(AND(INDEX($B$6:$H$6,1,WEEKDAY(A236,2))=0,COUNTIF($E$10:$E$39,A236)=0),1,0))</x:f>
        <x:v>0</x:v>
      </x:c>
      <x:c r="C236" s="2" t="n">
        <x:f>IF(A236="","",IF($B$5="Naturales",1,B236))</x:f>
        <x:v>0</x:v>
      </x:c>
      <x:c r="D236" s="2"/>
      <x:c r="E236" s="2"/>
      <x:c r="F236" s="2"/>
      <x:c r="G236" s="2"/>
      <x:c r="H236" s="2"/>
    </x:row>
    <x:row r="237" ht="25" customHeight="1">
      <x:c r="A237" s="12" t="n">
        <x:f>IF($B$7&lt;&gt;"OK","",IF(YEAR(DATE($B$4,1,1)+227)=$B$4,DATE($B$4,1,1)+227,""))</x:f>
        <x:v>46615</x:v>
      </x:c>
      <x:c r="B237" s="2" t="n">
        <x:f>IF(A237="","",IF(AND(INDEX($B$6:$H$6,1,WEEKDAY(A237,2))=0,COUNTIF($E$10:$E$39,A237)=0),1,0))</x:f>
        <x:v>1</x:v>
      </x:c>
      <x:c r="C237" s="2" t="n">
        <x:f>IF(A237="","",IF($B$5="Naturales",1,B237))</x:f>
        <x:v>1</x:v>
      </x:c>
      <x:c r="D237" s="2"/>
      <x:c r="E237" s="2"/>
      <x:c r="F237" s="2"/>
      <x:c r="G237" s="2"/>
      <x:c r="H237" s="2"/>
    </x:row>
    <x:row r="238" ht="25" customHeight="1">
      <x:c r="A238" s="12" t="n">
        <x:f>IF($B$7&lt;&gt;"OK","",IF(YEAR(DATE($B$4,1,1)+228)=$B$4,DATE($B$4,1,1)+228,""))</x:f>
        <x:v>46616</x:v>
      </x:c>
      <x:c r="B238" s="2" t="n">
        <x:f>IF(A238="","",IF(AND(INDEX($B$6:$H$6,1,WEEKDAY(A238,2))=0,COUNTIF($E$10:$E$39,A238)=0),1,0))</x:f>
        <x:v>1</x:v>
      </x:c>
      <x:c r="C238" s="2" t="n">
        <x:f>IF(A238="","",IF($B$5="Naturales",1,B238))</x:f>
        <x:v>1</x:v>
      </x:c>
      <x:c r="D238" s="2"/>
      <x:c r="E238" s="2"/>
      <x:c r="F238" s="2"/>
      <x:c r="G238" s="2"/>
      <x:c r="H238" s="2"/>
    </x:row>
    <x:row r="239" ht="25" customHeight="1">
      <x:c r="A239" s="12" t="n">
        <x:f>IF($B$7&lt;&gt;"OK","",IF(YEAR(DATE($B$4,1,1)+229)=$B$4,DATE($B$4,1,1)+229,""))</x:f>
        <x:v>46617</x:v>
      </x:c>
      <x:c r="B239" s="2" t="n">
        <x:f>IF(A239="","",IF(AND(INDEX($B$6:$H$6,1,WEEKDAY(A239,2))=0,COUNTIF($E$10:$E$39,A239)=0),1,0))</x:f>
        <x:v>1</x:v>
      </x:c>
      <x:c r="C239" s="2" t="n">
        <x:f>IF(A239="","",IF($B$5="Naturales",1,B239))</x:f>
        <x:v>1</x:v>
      </x:c>
      <x:c r="D239" s="2"/>
      <x:c r="E239" s="2"/>
      <x:c r="F239" s="2"/>
      <x:c r="G239" s="2"/>
      <x:c r="H239" s="2"/>
    </x:row>
    <x:row r="240" ht="25" customHeight="1">
      <x:c r="A240" s="12" t="n">
        <x:f>IF($B$7&lt;&gt;"OK","",IF(YEAR(DATE($B$4,1,1)+230)=$B$4,DATE($B$4,1,1)+230,""))</x:f>
        <x:v>46618</x:v>
      </x:c>
      <x:c r="B240" s="2" t="n">
        <x:f>IF(A240="","",IF(AND(INDEX($B$6:$H$6,1,WEEKDAY(A240,2))=0,COUNTIF($E$10:$E$39,A240)=0),1,0))</x:f>
        <x:v>1</x:v>
      </x:c>
      <x:c r="C240" s="2" t="n">
        <x:f>IF(A240="","",IF($B$5="Naturales",1,B240))</x:f>
        <x:v>1</x:v>
      </x:c>
      <x:c r="D240" s="2"/>
      <x:c r="E240" s="2"/>
      <x:c r="F240" s="2"/>
      <x:c r="G240" s="2"/>
      <x:c r="H240" s="2"/>
    </x:row>
    <x:row r="241" ht="25" customHeight="1">
      <x:c r="A241" s="12" t="n">
        <x:f>IF($B$7&lt;&gt;"OK","",IF(YEAR(DATE($B$4,1,1)+231)=$B$4,DATE($B$4,1,1)+231,""))</x:f>
        <x:v>46619</x:v>
      </x:c>
      <x:c r="B241" s="2" t="n">
        <x:f>IF(A241="","",IF(AND(INDEX($B$6:$H$6,1,WEEKDAY(A241,2))=0,COUNTIF($E$10:$E$39,A241)=0),1,0))</x:f>
        <x:v>1</x:v>
      </x:c>
      <x:c r="C241" s="2" t="n">
        <x:f>IF(A241="","",IF($B$5="Naturales",1,B241))</x:f>
        <x:v>1</x:v>
      </x:c>
      <x:c r="D241" s="2"/>
      <x:c r="E241" s="2"/>
      <x:c r="F241" s="2"/>
      <x:c r="G241" s="2"/>
      <x:c r="H241" s="2"/>
    </x:row>
    <x:row r="242" ht="25" customHeight="1">
      <x:c r="A242" s="12" t="n">
        <x:f>IF($B$7&lt;&gt;"OK","",IF(YEAR(DATE($B$4,1,1)+232)=$B$4,DATE($B$4,1,1)+232,""))</x:f>
        <x:v>46620</x:v>
      </x:c>
      <x:c r="B242" s="2" t="n">
        <x:f>IF(A242="","",IF(AND(INDEX($B$6:$H$6,1,WEEKDAY(A242,2))=0,COUNTIF($E$10:$E$39,A242)=0),1,0))</x:f>
        <x:v>0</x:v>
      </x:c>
      <x:c r="C242" s="2" t="n">
        <x:f>IF(A242="","",IF($B$5="Naturales",1,B242))</x:f>
        <x:v>0</x:v>
      </x:c>
      <x:c r="D242" s="2"/>
      <x:c r="E242" s="2"/>
      <x:c r="F242" s="2"/>
      <x:c r="G242" s="2"/>
      <x:c r="H242" s="2"/>
    </x:row>
    <x:row r="243" ht="25" customHeight="1">
      <x:c r="A243" s="12" t="n">
        <x:f>IF($B$7&lt;&gt;"OK","",IF(YEAR(DATE($B$4,1,1)+233)=$B$4,DATE($B$4,1,1)+233,""))</x:f>
        <x:v>46621</x:v>
      </x:c>
      <x:c r="B243" s="2" t="n">
        <x:f>IF(A243="","",IF(AND(INDEX($B$6:$H$6,1,WEEKDAY(A243,2))=0,COUNTIF($E$10:$E$39,A243)=0),1,0))</x:f>
        <x:v>0</x:v>
      </x:c>
      <x:c r="C243" s="2" t="n">
        <x:f>IF(A243="","",IF($B$5="Naturales",1,B243))</x:f>
        <x:v>0</x:v>
      </x:c>
      <x:c r="D243" s="2"/>
      <x:c r="E243" s="2"/>
      <x:c r="F243" s="2"/>
      <x:c r="G243" s="2"/>
      <x:c r="H243" s="2"/>
    </x:row>
    <x:row r="244" ht="25" customHeight="1">
      <x:c r="A244" s="12" t="n">
        <x:f>IF($B$7&lt;&gt;"OK","",IF(YEAR(DATE($B$4,1,1)+234)=$B$4,DATE($B$4,1,1)+234,""))</x:f>
        <x:v>46622</x:v>
      </x:c>
      <x:c r="B244" s="2" t="n">
        <x:f>IF(A244="","",IF(AND(INDEX($B$6:$H$6,1,WEEKDAY(A244,2))=0,COUNTIF($E$10:$E$39,A244)=0),1,0))</x:f>
        <x:v>1</x:v>
      </x:c>
      <x:c r="C244" s="2" t="n">
        <x:f>IF(A244="","",IF($B$5="Naturales",1,B244))</x:f>
        <x:v>1</x:v>
      </x:c>
      <x:c r="D244" s="2"/>
      <x:c r="E244" s="2"/>
      <x:c r="F244" s="2"/>
      <x:c r="G244" s="2"/>
      <x:c r="H244" s="2"/>
    </x:row>
    <x:row r="245" ht="25" customHeight="1">
      <x:c r="A245" s="12" t="n">
        <x:f>IF($B$7&lt;&gt;"OK","",IF(YEAR(DATE($B$4,1,1)+235)=$B$4,DATE($B$4,1,1)+235,""))</x:f>
        <x:v>46623</x:v>
      </x:c>
      <x:c r="B245" s="2" t="n">
        <x:f>IF(A245="","",IF(AND(INDEX($B$6:$H$6,1,WEEKDAY(A245,2))=0,COUNTIF($E$10:$E$39,A245)=0),1,0))</x:f>
        <x:v>1</x:v>
      </x:c>
      <x:c r="C245" s="2" t="n">
        <x:f>IF(A245="","",IF($B$5="Naturales",1,B245))</x:f>
        <x:v>1</x:v>
      </x:c>
      <x:c r="D245" s="2"/>
      <x:c r="E245" s="2"/>
      <x:c r="F245" s="2"/>
      <x:c r="G245" s="2"/>
      <x:c r="H245" s="2"/>
    </x:row>
    <x:row r="246" ht="25" customHeight="1">
      <x:c r="A246" s="12" t="n">
        <x:f>IF($B$7&lt;&gt;"OK","",IF(YEAR(DATE($B$4,1,1)+236)=$B$4,DATE($B$4,1,1)+236,""))</x:f>
        <x:v>46624</x:v>
      </x:c>
      <x:c r="B246" s="2" t="n">
        <x:f>IF(A246="","",IF(AND(INDEX($B$6:$H$6,1,WEEKDAY(A246,2))=0,COUNTIF($E$10:$E$39,A246)=0),1,0))</x:f>
        <x:v>1</x:v>
      </x:c>
      <x:c r="C246" s="2" t="n">
        <x:f>IF(A246="","",IF($B$5="Naturales",1,B246))</x:f>
        <x:v>1</x:v>
      </x:c>
      <x:c r="D246" s="2"/>
      <x:c r="E246" s="2"/>
      <x:c r="F246" s="2"/>
      <x:c r="G246" s="2"/>
      <x:c r="H246" s="2"/>
    </x:row>
    <x:row r="247" ht="25" customHeight="1">
      <x:c r="A247" s="12" t="n">
        <x:f>IF($B$7&lt;&gt;"OK","",IF(YEAR(DATE($B$4,1,1)+237)=$B$4,DATE($B$4,1,1)+237,""))</x:f>
        <x:v>46625</x:v>
      </x:c>
      <x:c r="B247" s="2" t="n">
        <x:f>IF(A247="","",IF(AND(INDEX($B$6:$H$6,1,WEEKDAY(A247,2))=0,COUNTIF($E$10:$E$39,A247)=0),1,0))</x:f>
        <x:v>1</x:v>
      </x:c>
      <x:c r="C247" s="2" t="n">
        <x:f>IF(A247="","",IF($B$5="Naturales",1,B247))</x:f>
        <x:v>1</x:v>
      </x:c>
      <x:c r="D247" s="2"/>
      <x:c r="E247" s="2"/>
      <x:c r="F247" s="2"/>
      <x:c r="G247" s="2"/>
      <x:c r="H247" s="2"/>
    </x:row>
    <x:row r="248" ht="25" customHeight="1">
      <x:c r="A248" s="12" t="n">
        <x:f>IF($B$7&lt;&gt;"OK","",IF(YEAR(DATE($B$4,1,1)+238)=$B$4,DATE($B$4,1,1)+238,""))</x:f>
        <x:v>46626</x:v>
      </x:c>
      <x:c r="B248" s="2" t="n">
        <x:f>IF(A248="","",IF(AND(INDEX($B$6:$H$6,1,WEEKDAY(A248,2))=0,COUNTIF($E$10:$E$39,A248)=0),1,0))</x:f>
        <x:v>1</x:v>
      </x:c>
      <x:c r="C248" s="2" t="n">
        <x:f>IF(A248="","",IF($B$5="Naturales",1,B248))</x:f>
        <x:v>1</x:v>
      </x:c>
      <x:c r="D248" s="2"/>
      <x:c r="E248" s="2"/>
      <x:c r="F248" s="2"/>
      <x:c r="G248" s="2"/>
      <x:c r="H248" s="2"/>
    </x:row>
    <x:row r="249" ht="25" customHeight="1">
      <x:c r="A249" s="12" t="n">
        <x:f>IF($B$7&lt;&gt;"OK","",IF(YEAR(DATE($B$4,1,1)+239)=$B$4,DATE($B$4,1,1)+239,""))</x:f>
        <x:v>46627</x:v>
      </x:c>
      <x:c r="B249" s="2" t="n">
        <x:f>IF(A249="","",IF(AND(INDEX($B$6:$H$6,1,WEEKDAY(A249,2))=0,COUNTIF($E$10:$E$39,A249)=0),1,0))</x:f>
        <x:v>0</x:v>
      </x:c>
      <x:c r="C249" s="2" t="n">
        <x:f>IF(A249="","",IF($B$5="Naturales",1,B249))</x:f>
        <x:v>0</x:v>
      </x:c>
      <x:c r="D249" s="2"/>
      <x:c r="E249" s="2"/>
      <x:c r="F249" s="2"/>
      <x:c r="G249" s="2"/>
      <x:c r="H249" s="2"/>
    </x:row>
    <x:row r="250" ht="25" customHeight="1">
      <x:c r="A250" s="12" t="n">
        <x:f>IF($B$7&lt;&gt;"OK","",IF(YEAR(DATE($B$4,1,1)+240)=$B$4,DATE($B$4,1,1)+240,""))</x:f>
        <x:v>46628</x:v>
      </x:c>
      <x:c r="B250" s="2" t="n">
        <x:f>IF(A250="","",IF(AND(INDEX($B$6:$H$6,1,WEEKDAY(A250,2))=0,COUNTIF($E$10:$E$39,A250)=0),1,0))</x:f>
        <x:v>0</x:v>
      </x:c>
      <x:c r="C250" s="2" t="n">
        <x:f>IF(A250="","",IF($B$5="Naturales",1,B250))</x:f>
        <x:v>0</x:v>
      </x:c>
      <x:c r="D250" s="2"/>
      <x:c r="E250" s="2"/>
      <x:c r="F250" s="2"/>
      <x:c r="G250" s="2"/>
      <x:c r="H250" s="2"/>
    </x:row>
    <x:row r="251" ht="25" customHeight="1">
      <x:c r="A251" s="12" t="n">
        <x:f>IF($B$7&lt;&gt;"OK","",IF(YEAR(DATE($B$4,1,1)+241)=$B$4,DATE($B$4,1,1)+241,""))</x:f>
        <x:v>46629</x:v>
      </x:c>
      <x:c r="B251" s="2" t="n">
        <x:f>IF(A251="","",IF(AND(INDEX($B$6:$H$6,1,WEEKDAY(A251,2))=0,COUNTIF($E$10:$E$39,A251)=0),1,0))</x:f>
        <x:v>1</x:v>
      </x:c>
      <x:c r="C251" s="2" t="n">
        <x:f>IF(A251="","",IF($B$5="Naturales",1,B251))</x:f>
        <x:v>1</x:v>
      </x:c>
      <x:c r="D251" s="2"/>
      <x:c r="E251" s="2"/>
      <x:c r="F251" s="2"/>
      <x:c r="G251" s="2"/>
      <x:c r="H251" s="2"/>
    </x:row>
    <x:row r="252" ht="25" customHeight="1">
      <x:c r="A252" s="12" t="n">
        <x:f>IF($B$7&lt;&gt;"OK","",IF(YEAR(DATE($B$4,1,1)+242)=$B$4,DATE($B$4,1,1)+242,""))</x:f>
        <x:v>46630</x:v>
      </x:c>
      <x:c r="B252" s="2" t="n">
        <x:f>IF(A252="","",IF(AND(INDEX($B$6:$H$6,1,WEEKDAY(A252,2))=0,COUNTIF($E$10:$E$39,A252)=0),1,0))</x:f>
        <x:v>1</x:v>
      </x:c>
      <x:c r="C252" s="2" t="n">
        <x:f>IF(A252="","",IF($B$5="Naturales",1,B252))</x:f>
        <x:v>1</x:v>
      </x:c>
      <x:c r="D252" s="2"/>
      <x:c r="E252" s="2"/>
      <x:c r="F252" s="2"/>
      <x:c r="G252" s="2"/>
      <x:c r="H252" s="2"/>
    </x:row>
    <x:row r="253" ht="25" customHeight="1">
      <x:c r="A253" s="12" t="n">
        <x:f>IF($B$7&lt;&gt;"OK","",IF(YEAR(DATE($B$4,1,1)+243)=$B$4,DATE($B$4,1,1)+243,""))</x:f>
        <x:v>46631</x:v>
      </x:c>
      <x:c r="B253" s="2" t="n">
        <x:f>IF(A253="","",IF(AND(INDEX($B$6:$H$6,1,WEEKDAY(A253,2))=0,COUNTIF($E$10:$E$39,A253)=0),1,0))</x:f>
        <x:v>1</x:v>
      </x:c>
      <x:c r="C253" s="2" t="n">
        <x:f>IF(A253="","",IF($B$5="Naturales",1,B253))</x:f>
        <x:v>1</x:v>
      </x:c>
      <x:c r="D253" s="2"/>
      <x:c r="E253" s="2"/>
      <x:c r="F253" s="2"/>
      <x:c r="G253" s="2"/>
      <x:c r="H253" s="2"/>
    </x:row>
    <x:row r="254" ht="25" customHeight="1">
      <x:c r="A254" s="12" t="n">
        <x:f>IF($B$7&lt;&gt;"OK","",IF(YEAR(DATE($B$4,1,1)+244)=$B$4,DATE($B$4,1,1)+244,""))</x:f>
        <x:v>46632</x:v>
      </x:c>
      <x:c r="B254" s="2" t="n">
        <x:f>IF(A254="","",IF(AND(INDEX($B$6:$H$6,1,WEEKDAY(A254,2))=0,COUNTIF($E$10:$E$39,A254)=0),1,0))</x:f>
        <x:v>1</x:v>
      </x:c>
      <x:c r="C254" s="2" t="n">
        <x:f>IF(A254="","",IF($B$5="Naturales",1,B254))</x:f>
        <x:v>1</x:v>
      </x:c>
      <x:c r="D254" s="2"/>
      <x:c r="E254" s="2"/>
      <x:c r="F254" s="2"/>
      <x:c r="G254" s="2"/>
      <x:c r="H254" s="2"/>
    </x:row>
    <x:row r="255" ht="25" customHeight="1">
      <x:c r="A255" s="12" t="n">
        <x:f>IF($B$7&lt;&gt;"OK","",IF(YEAR(DATE($B$4,1,1)+245)=$B$4,DATE($B$4,1,1)+245,""))</x:f>
        <x:v>46633</x:v>
      </x:c>
      <x:c r="B255" s="2" t="n">
        <x:f>IF(A255="","",IF(AND(INDEX($B$6:$H$6,1,WEEKDAY(A255,2))=0,COUNTIF($E$10:$E$39,A255)=0),1,0))</x:f>
        <x:v>1</x:v>
      </x:c>
      <x:c r="C255" s="2" t="n">
        <x:f>IF(A255="","",IF($B$5="Naturales",1,B255))</x:f>
        <x:v>1</x:v>
      </x:c>
      <x:c r="D255" s="2"/>
      <x:c r="E255" s="2"/>
      <x:c r="F255" s="2"/>
      <x:c r="G255" s="2"/>
      <x:c r="H255" s="2"/>
    </x:row>
    <x:row r="256" ht="25" customHeight="1">
      <x:c r="A256" s="12" t="n">
        <x:f>IF($B$7&lt;&gt;"OK","",IF(YEAR(DATE($B$4,1,1)+246)=$B$4,DATE($B$4,1,1)+246,""))</x:f>
        <x:v>46634</x:v>
      </x:c>
      <x:c r="B256" s="2" t="n">
        <x:f>IF(A256="","",IF(AND(INDEX($B$6:$H$6,1,WEEKDAY(A256,2))=0,COUNTIF($E$10:$E$39,A256)=0),1,0))</x:f>
        <x:v>0</x:v>
      </x:c>
      <x:c r="C256" s="2" t="n">
        <x:f>IF(A256="","",IF($B$5="Naturales",1,B256))</x:f>
        <x:v>0</x:v>
      </x:c>
      <x:c r="D256" s="2"/>
      <x:c r="E256" s="2"/>
      <x:c r="F256" s="2"/>
      <x:c r="G256" s="2"/>
      <x:c r="H256" s="2"/>
    </x:row>
    <x:row r="257" ht="25" customHeight="1">
      <x:c r="A257" s="12" t="n">
        <x:f>IF($B$7&lt;&gt;"OK","",IF(YEAR(DATE($B$4,1,1)+247)=$B$4,DATE($B$4,1,1)+247,""))</x:f>
        <x:v>46635</x:v>
      </x:c>
      <x:c r="B257" s="2" t="n">
        <x:f>IF(A257="","",IF(AND(INDEX($B$6:$H$6,1,WEEKDAY(A257,2))=0,COUNTIF($E$10:$E$39,A257)=0),1,0))</x:f>
        <x:v>0</x:v>
      </x:c>
      <x:c r="C257" s="2" t="n">
        <x:f>IF(A257="","",IF($B$5="Naturales",1,B257))</x:f>
        <x:v>0</x:v>
      </x:c>
      <x:c r="D257" s="2"/>
      <x:c r="E257" s="2"/>
      <x:c r="F257" s="2"/>
      <x:c r="G257" s="2"/>
      <x:c r="H257" s="2"/>
    </x:row>
    <x:row r="258" ht="25" customHeight="1">
      <x:c r="A258" s="12" t="n">
        <x:f>IF($B$7&lt;&gt;"OK","",IF(YEAR(DATE($B$4,1,1)+248)=$B$4,DATE($B$4,1,1)+248,""))</x:f>
        <x:v>46636</x:v>
      </x:c>
      <x:c r="B258" s="2" t="n">
        <x:f>IF(A258="","",IF(AND(INDEX($B$6:$H$6,1,WEEKDAY(A258,2))=0,COUNTIF($E$10:$E$39,A258)=0),1,0))</x:f>
        <x:v>1</x:v>
      </x:c>
      <x:c r="C258" s="2" t="n">
        <x:f>IF(A258="","",IF($B$5="Naturales",1,B258))</x:f>
        <x:v>1</x:v>
      </x:c>
      <x:c r="D258" s="2"/>
      <x:c r="E258" s="2"/>
      <x:c r="F258" s="2"/>
      <x:c r="G258" s="2"/>
      <x:c r="H258" s="2"/>
    </x:row>
    <x:row r="259" ht="25" customHeight="1">
      <x:c r="A259" s="12" t="n">
        <x:f>IF($B$7&lt;&gt;"OK","",IF(YEAR(DATE($B$4,1,1)+249)=$B$4,DATE($B$4,1,1)+249,""))</x:f>
        <x:v>46637</x:v>
      </x:c>
      <x:c r="B259" s="2" t="n">
        <x:f>IF(A259="","",IF(AND(INDEX($B$6:$H$6,1,WEEKDAY(A259,2))=0,COUNTIF($E$10:$E$39,A259)=0),1,0))</x:f>
        <x:v>1</x:v>
      </x:c>
      <x:c r="C259" s="2" t="n">
        <x:f>IF(A259="","",IF($B$5="Naturales",1,B259))</x:f>
        <x:v>1</x:v>
      </x:c>
      <x:c r="D259" s="2"/>
      <x:c r="E259" s="2"/>
      <x:c r="F259" s="2"/>
      <x:c r="G259" s="2"/>
      <x:c r="H259" s="2"/>
    </x:row>
    <x:row r="260" ht="25" customHeight="1">
      <x:c r="A260" s="12" t="n">
        <x:f>IF($B$7&lt;&gt;"OK","",IF(YEAR(DATE($B$4,1,1)+250)=$B$4,DATE($B$4,1,1)+250,""))</x:f>
        <x:v>46638</x:v>
      </x:c>
      <x:c r="B260" s="2" t="n">
        <x:f>IF(A260="","",IF(AND(INDEX($B$6:$H$6,1,WEEKDAY(A260,2))=0,COUNTIF($E$10:$E$39,A260)=0),1,0))</x:f>
        <x:v>1</x:v>
      </x:c>
      <x:c r="C260" s="2" t="n">
        <x:f>IF(A260="","",IF($B$5="Naturales",1,B260))</x:f>
        <x:v>1</x:v>
      </x:c>
      <x:c r="D260" s="2"/>
      <x:c r="E260" s="2"/>
      <x:c r="F260" s="2"/>
      <x:c r="G260" s="2"/>
      <x:c r="H260" s="2"/>
    </x:row>
    <x:row r="261" ht="25" customHeight="1">
      <x:c r="A261" s="12" t="n">
        <x:f>IF($B$7&lt;&gt;"OK","",IF(YEAR(DATE($B$4,1,1)+251)=$B$4,DATE($B$4,1,1)+251,""))</x:f>
        <x:v>46639</x:v>
      </x:c>
      <x:c r="B261" s="2" t="n">
        <x:f>IF(A261="","",IF(AND(INDEX($B$6:$H$6,1,WEEKDAY(A261,2))=0,COUNTIF($E$10:$E$39,A261)=0),1,0))</x:f>
        <x:v>1</x:v>
      </x:c>
      <x:c r="C261" s="2" t="n">
        <x:f>IF(A261="","",IF($B$5="Naturales",1,B261))</x:f>
        <x:v>1</x:v>
      </x:c>
      <x:c r="D261" s="2"/>
      <x:c r="E261" s="2"/>
      <x:c r="F261" s="2"/>
      <x:c r="G261" s="2"/>
      <x:c r="H261" s="2"/>
    </x:row>
    <x:row r="262" ht="25" customHeight="1">
      <x:c r="A262" s="12" t="n">
        <x:f>IF($B$7&lt;&gt;"OK","",IF(YEAR(DATE($B$4,1,1)+252)=$B$4,DATE($B$4,1,1)+252,""))</x:f>
        <x:v>46640</x:v>
      </x:c>
      <x:c r="B262" s="2" t="n">
        <x:f>IF(A262="","",IF(AND(INDEX($B$6:$H$6,1,WEEKDAY(A262,2))=0,COUNTIF($E$10:$E$39,A262)=0),1,0))</x:f>
        <x:v>1</x:v>
      </x:c>
      <x:c r="C262" s="2" t="n">
        <x:f>IF(A262="","",IF($B$5="Naturales",1,B262))</x:f>
        <x:v>1</x:v>
      </x:c>
      <x:c r="D262" s="2"/>
      <x:c r="E262" s="2"/>
      <x:c r="F262" s="2"/>
      <x:c r="G262" s="2"/>
      <x:c r="H262" s="2"/>
    </x:row>
    <x:row r="263" ht="25" customHeight="1">
      <x:c r="A263" s="12" t="n">
        <x:f>IF($B$7&lt;&gt;"OK","",IF(YEAR(DATE($B$4,1,1)+253)=$B$4,DATE($B$4,1,1)+253,""))</x:f>
        <x:v>46641</x:v>
      </x:c>
      <x:c r="B263" s="2" t="n">
        <x:f>IF(A263="","",IF(AND(INDEX($B$6:$H$6,1,WEEKDAY(A263,2))=0,COUNTIF($E$10:$E$39,A263)=0),1,0))</x:f>
        <x:v>0</x:v>
      </x:c>
      <x:c r="C263" s="2" t="n">
        <x:f>IF(A263="","",IF($B$5="Naturales",1,B263))</x:f>
        <x:v>0</x:v>
      </x:c>
      <x:c r="D263" s="2"/>
      <x:c r="E263" s="2"/>
      <x:c r="F263" s="2"/>
      <x:c r="G263" s="2"/>
      <x:c r="H263" s="2"/>
    </x:row>
    <x:row r="264" ht="25" customHeight="1">
      <x:c r="A264" s="12" t="n">
        <x:f>IF($B$7&lt;&gt;"OK","",IF(YEAR(DATE($B$4,1,1)+254)=$B$4,DATE($B$4,1,1)+254,""))</x:f>
        <x:v>46642</x:v>
      </x:c>
      <x:c r="B264" s="2" t="n">
        <x:f>IF(A264="","",IF(AND(INDEX($B$6:$H$6,1,WEEKDAY(A264,2))=0,COUNTIF($E$10:$E$39,A264)=0),1,0))</x:f>
        <x:v>0</x:v>
      </x:c>
      <x:c r="C264" s="2" t="n">
        <x:f>IF(A264="","",IF($B$5="Naturales",1,B264))</x:f>
        <x:v>0</x:v>
      </x:c>
      <x:c r="D264" s="2"/>
      <x:c r="E264" s="2"/>
      <x:c r="F264" s="2"/>
      <x:c r="G264" s="2"/>
      <x:c r="H264" s="2"/>
    </x:row>
    <x:row r="265" ht="25" customHeight="1">
      <x:c r="A265" s="12" t="n">
        <x:f>IF($B$7&lt;&gt;"OK","",IF(YEAR(DATE($B$4,1,1)+255)=$B$4,DATE($B$4,1,1)+255,""))</x:f>
        <x:v>46643</x:v>
      </x:c>
      <x:c r="B265" s="2" t="n">
        <x:f>IF(A265="","",IF(AND(INDEX($B$6:$H$6,1,WEEKDAY(A265,2))=0,COUNTIF($E$10:$E$39,A265)=0),1,0))</x:f>
        <x:v>1</x:v>
      </x:c>
      <x:c r="C265" s="2" t="n">
        <x:f>IF(A265="","",IF($B$5="Naturales",1,B265))</x:f>
        <x:v>1</x:v>
      </x:c>
      <x:c r="D265" s="2"/>
      <x:c r="E265" s="2"/>
      <x:c r="F265" s="2"/>
      <x:c r="G265" s="2"/>
      <x:c r="H265" s="2"/>
    </x:row>
    <x:row r="266" ht="25" customHeight="1">
      <x:c r="A266" s="12" t="n">
        <x:f>IF($B$7&lt;&gt;"OK","",IF(YEAR(DATE($B$4,1,1)+256)=$B$4,DATE($B$4,1,1)+256,""))</x:f>
        <x:v>46644</x:v>
      </x:c>
      <x:c r="B266" s="2" t="n">
        <x:f>IF(A266="","",IF(AND(INDEX($B$6:$H$6,1,WEEKDAY(A266,2))=0,COUNTIF($E$10:$E$39,A266)=0),1,0))</x:f>
        <x:v>1</x:v>
      </x:c>
      <x:c r="C266" s="2" t="n">
        <x:f>IF(A266="","",IF($B$5="Naturales",1,B266))</x:f>
        <x:v>1</x:v>
      </x:c>
      <x:c r="D266" s="2"/>
      <x:c r="E266" s="2"/>
      <x:c r="F266" s="2"/>
      <x:c r="G266" s="2"/>
      <x:c r="H266" s="2"/>
    </x:row>
    <x:row r="267" ht="25" customHeight="1">
      <x:c r="A267" s="12" t="n">
        <x:f>IF($B$7&lt;&gt;"OK","",IF(YEAR(DATE($B$4,1,1)+257)=$B$4,DATE($B$4,1,1)+257,""))</x:f>
        <x:v>46645</x:v>
      </x:c>
      <x:c r="B267" s="2" t="n">
        <x:f>IF(A267="","",IF(AND(INDEX($B$6:$H$6,1,WEEKDAY(A267,2))=0,COUNTIF($E$10:$E$39,A267)=0),1,0))</x:f>
        <x:v>1</x:v>
      </x:c>
      <x:c r="C267" s="2" t="n">
        <x:f>IF(A267="","",IF($B$5="Naturales",1,B267))</x:f>
        <x:v>1</x:v>
      </x:c>
      <x:c r="D267" s="2"/>
      <x:c r="E267" s="2"/>
      <x:c r="F267" s="2"/>
      <x:c r="G267" s="2"/>
      <x:c r="H267" s="2"/>
    </x:row>
    <x:row r="268" ht="25" customHeight="1">
      <x:c r="A268" s="12" t="n">
        <x:f>IF($B$7&lt;&gt;"OK","",IF(YEAR(DATE($B$4,1,1)+258)=$B$4,DATE($B$4,1,1)+258,""))</x:f>
        <x:v>46646</x:v>
      </x:c>
      <x:c r="B268" s="2" t="n">
        <x:f>IF(A268="","",IF(AND(INDEX($B$6:$H$6,1,WEEKDAY(A268,2))=0,COUNTIF($E$10:$E$39,A268)=0),1,0))</x:f>
        <x:v>1</x:v>
      </x:c>
      <x:c r="C268" s="2" t="n">
        <x:f>IF(A268="","",IF($B$5="Naturales",1,B268))</x:f>
        <x:v>1</x:v>
      </x:c>
      <x:c r="D268" s="2"/>
      <x:c r="E268" s="2"/>
      <x:c r="F268" s="2"/>
      <x:c r="G268" s="2"/>
      <x:c r="H268" s="2"/>
    </x:row>
    <x:row r="269" ht="25" customHeight="1">
      <x:c r="A269" s="12" t="n">
        <x:f>IF($B$7&lt;&gt;"OK","",IF(YEAR(DATE($B$4,1,1)+259)=$B$4,DATE($B$4,1,1)+259,""))</x:f>
        <x:v>46647</x:v>
      </x:c>
      <x:c r="B269" s="2" t="n">
        <x:f>IF(A269="","",IF(AND(INDEX($B$6:$H$6,1,WEEKDAY(A269,2))=0,COUNTIF($E$10:$E$39,A269)=0),1,0))</x:f>
        <x:v>1</x:v>
      </x:c>
      <x:c r="C269" s="2" t="n">
        <x:f>IF(A269="","",IF($B$5="Naturales",1,B269))</x:f>
        <x:v>1</x:v>
      </x:c>
      <x:c r="D269" s="2"/>
      <x:c r="E269" s="2"/>
      <x:c r="F269" s="2"/>
      <x:c r="G269" s="2"/>
      <x:c r="H269" s="2"/>
    </x:row>
    <x:row r="270" ht="25" customHeight="1">
      <x:c r="A270" s="12" t="n">
        <x:f>IF($B$7&lt;&gt;"OK","",IF(YEAR(DATE($B$4,1,1)+260)=$B$4,DATE($B$4,1,1)+260,""))</x:f>
        <x:v>46648</x:v>
      </x:c>
      <x:c r="B270" s="2" t="n">
        <x:f>IF(A270="","",IF(AND(INDEX($B$6:$H$6,1,WEEKDAY(A270,2))=0,COUNTIF($E$10:$E$39,A270)=0),1,0))</x:f>
        <x:v>0</x:v>
      </x:c>
      <x:c r="C270" s="2" t="n">
        <x:f>IF(A270="","",IF($B$5="Naturales",1,B270))</x:f>
        <x:v>0</x:v>
      </x:c>
      <x:c r="D270" s="2"/>
      <x:c r="E270" s="2"/>
      <x:c r="F270" s="2"/>
      <x:c r="G270" s="2"/>
      <x:c r="H270" s="2"/>
    </x:row>
    <x:row r="271" ht="25" customHeight="1">
      <x:c r="A271" s="12" t="n">
        <x:f>IF($B$7&lt;&gt;"OK","",IF(YEAR(DATE($B$4,1,1)+261)=$B$4,DATE($B$4,1,1)+261,""))</x:f>
        <x:v>46649</x:v>
      </x:c>
      <x:c r="B271" s="2" t="n">
        <x:f>IF(A271="","",IF(AND(INDEX($B$6:$H$6,1,WEEKDAY(A271,2))=0,COUNTIF($E$10:$E$39,A271)=0),1,0))</x:f>
        <x:v>0</x:v>
      </x:c>
      <x:c r="C271" s="2" t="n">
        <x:f>IF(A271="","",IF($B$5="Naturales",1,B271))</x:f>
        <x:v>0</x:v>
      </x:c>
      <x:c r="D271" s="2"/>
      <x:c r="E271" s="2"/>
      <x:c r="F271" s="2"/>
      <x:c r="G271" s="2"/>
      <x:c r="H271" s="2"/>
    </x:row>
    <x:row r="272" ht="25" customHeight="1">
      <x:c r="A272" s="12" t="n">
        <x:f>IF($B$7&lt;&gt;"OK","",IF(YEAR(DATE($B$4,1,1)+262)=$B$4,DATE($B$4,1,1)+262,""))</x:f>
        <x:v>46650</x:v>
      </x:c>
      <x:c r="B272" s="2" t="n">
        <x:f>IF(A272="","",IF(AND(INDEX($B$6:$H$6,1,WEEKDAY(A272,2))=0,COUNTIF($E$10:$E$39,A272)=0),1,0))</x:f>
        <x:v>1</x:v>
      </x:c>
      <x:c r="C272" s="2" t="n">
        <x:f>IF(A272="","",IF($B$5="Naturales",1,B272))</x:f>
        <x:v>1</x:v>
      </x:c>
      <x:c r="D272" s="2"/>
      <x:c r="E272" s="2"/>
      <x:c r="F272" s="2"/>
      <x:c r="G272" s="2"/>
      <x:c r="H272" s="2"/>
    </x:row>
    <x:row r="273" ht="25" customHeight="1">
      <x:c r="A273" s="12" t="n">
        <x:f>IF($B$7&lt;&gt;"OK","",IF(YEAR(DATE($B$4,1,1)+263)=$B$4,DATE($B$4,1,1)+263,""))</x:f>
        <x:v>46651</x:v>
      </x:c>
      <x:c r="B273" s="2" t="n">
        <x:f>IF(A273="","",IF(AND(INDEX($B$6:$H$6,1,WEEKDAY(A273,2))=0,COUNTIF($E$10:$E$39,A273)=0),1,0))</x:f>
        <x:v>1</x:v>
      </x:c>
      <x:c r="C273" s="2" t="n">
        <x:f>IF(A273="","",IF($B$5="Naturales",1,B273))</x:f>
        <x:v>1</x:v>
      </x:c>
      <x:c r="D273" s="2"/>
      <x:c r="E273" s="2"/>
      <x:c r="F273" s="2"/>
      <x:c r="G273" s="2"/>
      <x:c r="H273" s="2"/>
    </x:row>
    <x:row r="274" ht="25" customHeight="1">
      <x:c r="A274" s="12" t="n">
        <x:f>IF($B$7&lt;&gt;"OK","",IF(YEAR(DATE($B$4,1,1)+264)=$B$4,DATE($B$4,1,1)+264,""))</x:f>
        <x:v>46652</x:v>
      </x:c>
      <x:c r="B274" s="2" t="n">
        <x:f>IF(A274="","",IF(AND(INDEX($B$6:$H$6,1,WEEKDAY(A274,2))=0,COUNTIF($E$10:$E$39,A274)=0),1,0))</x:f>
        <x:v>1</x:v>
      </x:c>
      <x:c r="C274" s="2" t="n">
        <x:f>IF(A274="","",IF($B$5="Naturales",1,B274))</x:f>
        <x:v>1</x:v>
      </x:c>
      <x:c r="D274" s="2"/>
      <x:c r="E274" s="2"/>
      <x:c r="F274" s="2"/>
      <x:c r="G274" s="2"/>
      <x:c r="H274" s="2"/>
    </x:row>
    <x:row r="275" ht="25" customHeight="1">
      <x:c r="A275" s="12" t="n">
        <x:f>IF($B$7&lt;&gt;"OK","",IF(YEAR(DATE($B$4,1,1)+265)=$B$4,DATE($B$4,1,1)+265,""))</x:f>
        <x:v>46653</x:v>
      </x:c>
      <x:c r="B275" s="2" t="n">
        <x:f>IF(A275="","",IF(AND(INDEX($B$6:$H$6,1,WEEKDAY(A275,2))=0,COUNTIF($E$10:$E$39,A275)=0),1,0))</x:f>
        <x:v>1</x:v>
      </x:c>
      <x:c r="C275" s="2" t="n">
        <x:f>IF(A275="","",IF($B$5="Naturales",1,B275))</x:f>
        <x:v>1</x:v>
      </x:c>
      <x:c r="D275" s="2"/>
      <x:c r="E275" s="2"/>
      <x:c r="F275" s="2"/>
      <x:c r="G275" s="2"/>
      <x:c r="H275" s="2"/>
    </x:row>
    <x:row r="276" ht="25" customHeight="1">
      <x:c r="A276" s="12" t="n">
        <x:f>IF($B$7&lt;&gt;"OK","",IF(YEAR(DATE($B$4,1,1)+266)=$B$4,DATE($B$4,1,1)+266,""))</x:f>
        <x:v>46654</x:v>
      </x:c>
      <x:c r="B276" s="2" t="n">
        <x:f>IF(A276="","",IF(AND(INDEX($B$6:$H$6,1,WEEKDAY(A276,2))=0,COUNTIF($E$10:$E$39,A276)=0),1,0))</x:f>
        <x:v>1</x:v>
      </x:c>
      <x:c r="C276" s="2" t="n">
        <x:f>IF(A276="","",IF($B$5="Naturales",1,B276))</x:f>
        <x:v>1</x:v>
      </x:c>
      <x:c r="D276" s="2"/>
      <x:c r="E276" s="2"/>
      <x:c r="F276" s="2"/>
      <x:c r="G276" s="2"/>
      <x:c r="H276" s="2"/>
    </x:row>
    <x:row r="277" ht="25" customHeight="1">
      <x:c r="A277" s="12" t="n">
        <x:f>IF($B$7&lt;&gt;"OK","",IF(YEAR(DATE($B$4,1,1)+267)=$B$4,DATE($B$4,1,1)+267,""))</x:f>
        <x:v>46655</x:v>
      </x:c>
      <x:c r="B277" s="2" t="n">
        <x:f>IF(A277="","",IF(AND(INDEX($B$6:$H$6,1,WEEKDAY(A277,2))=0,COUNTIF($E$10:$E$39,A277)=0),1,0))</x:f>
        <x:v>0</x:v>
      </x:c>
      <x:c r="C277" s="2" t="n">
        <x:f>IF(A277="","",IF($B$5="Naturales",1,B277))</x:f>
        <x:v>0</x:v>
      </x:c>
      <x:c r="D277" s="2"/>
      <x:c r="E277" s="2"/>
      <x:c r="F277" s="2"/>
      <x:c r="G277" s="2"/>
      <x:c r="H277" s="2"/>
    </x:row>
    <x:row r="278" ht="25" customHeight="1">
      <x:c r="A278" s="12" t="n">
        <x:f>IF($B$7&lt;&gt;"OK","",IF(YEAR(DATE($B$4,1,1)+268)=$B$4,DATE($B$4,1,1)+268,""))</x:f>
        <x:v>46656</x:v>
      </x:c>
      <x:c r="B278" s="2" t="n">
        <x:f>IF(A278="","",IF(AND(INDEX($B$6:$H$6,1,WEEKDAY(A278,2))=0,COUNTIF($E$10:$E$39,A278)=0),1,0))</x:f>
        <x:v>0</x:v>
      </x:c>
      <x:c r="C278" s="2" t="n">
        <x:f>IF(A278="","",IF($B$5="Naturales",1,B278))</x:f>
        <x:v>0</x:v>
      </x:c>
      <x:c r="D278" s="2"/>
      <x:c r="E278" s="2"/>
      <x:c r="F278" s="2"/>
      <x:c r="G278" s="2"/>
      <x:c r="H278" s="2"/>
    </x:row>
    <x:row r="279" ht="25" customHeight="1">
      <x:c r="A279" s="12" t="n">
        <x:f>IF($B$7&lt;&gt;"OK","",IF(YEAR(DATE($B$4,1,1)+269)=$B$4,DATE($B$4,1,1)+269,""))</x:f>
        <x:v>46657</x:v>
      </x:c>
      <x:c r="B279" s="2" t="n">
        <x:f>IF(A279="","",IF(AND(INDEX($B$6:$H$6,1,WEEKDAY(A279,2))=0,COUNTIF($E$10:$E$39,A279)=0),1,0))</x:f>
        <x:v>1</x:v>
      </x:c>
      <x:c r="C279" s="2" t="n">
        <x:f>IF(A279="","",IF($B$5="Naturales",1,B279))</x:f>
        <x:v>1</x:v>
      </x:c>
      <x:c r="D279" s="2"/>
      <x:c r="E279" s="2"/>
      <x:c r="F279" s="2"/>
      <x:c r="G279" s="2"/>
      <x:c r="H279" s="2"/>
    </x:row>
    <x:row r="280" ht="25" customHeight="1">
      <x:c r="A280" s="12" t="n">
        <x:f>IF($B$7&lt;&gt;"OK","",IF(YEAR(DATE($B$4,1,1)+270)=$B$4,DATE($B$4,1,1)+270,""))</x:f>
        <x:v>46658</x:v>
      </x:c>
      <x:c r="B280" s="2" t="n">
        <x:f>IF(A280="","",IF(AND(INDEX($B$6:$H$6,1,WEEKDAY(A280,2))=0,COUNTIF($E$10:$E$39,A280)=0),1,0))</x:f>
        <x:v>1</x:v>
      </x:c>
      <x:c r="C280" s="2" t="n">
        <x:f>IF(A280="","",IF($B$5="Naturales",1,B280))</x:f>
        <x:v>1</x:v>
      </x:c>
      <x:c r="D280" s="2"/>
      <x:c r="E280" s="2"/>
      <x:c r="F280" s="2"/>
      <x:c r="G280" s="2"/>
      <x:c r="H280" s="2"/>
    </x:row>
    <x:row r="281" ht="25" customHeight="1">
      <x:c r="A281" s="12" t="n">
        <x:f>IF($B$7&lt;&gt;"OK","",IF(YEAR(DATE($B$4,1,1)+271)=$B$4,DATE($B$4,1,1)+271,""))</x:f>
        <x:v>46659</x:v>
      </x:c>
      <x:c r="B281" s="2" t="n">
        <x:f>IF(A281="","",IF(AND(INDEX($B$6:$H$6,1,WEEKDAY(A281,2))=0,COUNTIF($E$10:$E$39,A281)=0),1,0))</x:f>
        <x:v>1</x:v>
      </x:c>
      <x:c r="C281" s="2" t="n">
        <x:f>IF(A281="","",IF($B$5="Naturales",1,B281))</x:f>
        <x:v>1</x:v>
      </x:c>
      <x:c r="D281" s="2"/>
      <x:c r="E281" s="2"/>
      <x:c r="F281" s="2"/>
      <x:c r="G281" s="2"/>
      <x:c r="H281" s="2"/>
    </x:row>
    <x:row r="282" ht="25" customHeight="1">
      <x:c r="A282" s="12" t="n">
        <x:f>IF($B$7&lt;&gt;"OK","",IF(YEAR(DATE($B$4,1,1)+272)=$B$4,DATE($B$4,1,1)+272,""))</x:f>
        <x:v>46660</x:v>
      </x:c>
      <x:c r="B282" s="2" t="n">
        <x:f>IF(A282="","",IF(AND(INDEX($B$6:$H$6,1,WEEKDAY(A282,2))=0,COUNTIF($E$10:$E$39,A282)=0),1,0))</x:f>
        <x:v>1</x:v>
      </x:c>
      <x:c r="C282" s="2" t="n">
        <x:f>IF(A282="","",IF($B$5="Naturales",1,B282))</x:f>
        <x:v>1</x:v>
      </x:c>
      <x:c r="D282" s="2"/>
      <x:c r="E282" s="2"/>
      <x:c r="F282" s="2"/>
      <x:c r="G282" s="2"/>
      <x:c r="H282" s="2"/>
    </x:row>
    <x:row r="283" ht="25" customHeight="1">
      <x:c r="A283" s="12" t="n">
        <x:f>IF($B$7&lt;&gt;"OK","",IF(YEAR(DATE($B$4,1,1)+273)=$B$4,DATE($B$4,1,1)+273,""))</x:f>
        <x:v>46661</x:v>
      </x:c>
      <x:c r="B283" s="2" t="n">
        <x:f>IF(A283="","",IF(AND(INDEX($B$6:$H$6,1,WEEKDAY(A283,2))=0,COUNTIF($E$10:$E$39,A283)=0),1,0))</x:f>
        <x:v>1</x:v>
      </x:c>
      <x:c r="C283" s="2" t="n">
        <x:f>IF(A283="","",IF($B$5="Naturales",1,B283))</x:f>
        <x:v>1</x:v>
      </x:c>
      <x:c r="D283" s="2"/>
      <x:c r="E283" s="2"/>
      <x:c r="F283" s="2"/>
      <x:c r="G283" s="2"/>
      <x:c r="H283" s="2"/>
    </x:row>
    <x:row r="284" ht="25" customHeight="1">
      <x:c r="A284" s="12" t="n">
        <x:f>IF($B$7&lt;&gt;"OK","",IF(YEAR(DATE($B$4,1,1)+274)=$B$4,DATE($B$4,1,1)+274,""))</x:f>
        <x:v>46662</x:v>
      </x:c>
      <x:c r="B284" s="2" t="n">
        <x:f>IF(A284="","",IF(AND(INDEX($B$6:$H$6,1,WEEKDAY(A284,2))=0,COUNTIF($E$10:$E$39,A284)=0),1,0))</x:f>
        <x:v>0</x:v>
      </x:c>
      <x:c r="C284" s="2" t="n">
        <x:f>IF(A284="","",IF($B$5="Naturales",1,B284))</x:f>
        <x:v>0</x:v>
      </x:c>
      <x:c r="D284" s="2"/>
      <x:c r="E284" s="2"/>
      <x:c r="F284" s="2"/>
      <x:c r="G284" s="2"/>
      <x:c r="H284" s="2"/>
    </x:row>
    <x:row r="285" ht="25" customHeight="1">
      <x:c r="A285" s="12" t="n">
        <x:f>IF($B$7&lt;&gt;"OK","",IF(YEAR(DATE($B$4,1,1)+275)=$B$4,DATE($B$4,1,1)+275,""))</x:f>
        <x:v>46663</x:v>
      </x:c>
      <x:c r="B285" s="2" t="n">
        <x:f>IF(A285="","",IF(AND(INDEX($B$6:$H$6,1,WEEKDAY(A285,2))=0,COUNTIF($E$10:$E$39,A285)=0),1,0))</x:f>
        <x:v>0</x:v>
      </x:c>
      <x:c r="C285" s="2" t="n">
        <x:f>IF(A285="","",IF($B$5="Naturales",1,B285))</x:f>
        <x:v>0</x:v>
      </x:c>
      <x:c r="D285" s="2"/>
      <x:c r="E285" s="2"/>
      <x:c r="F285" s="2"/>
      <x:c r="G285" s="2"/>
      <x:c r="H285" s="2"/>
    </x:row>
    <x:row r="286" ht="25" customHeight="1">
      <x:c r="A286" s="12" t="n">
        <x:f>IF($B$7&lt;&gt;"OK","",IF(YEAR(DATE($B$4,1,1)+276)=$B$4,DATE($B$4,1,1)+276,""))</x:f>
        <x:v>46664</x:v>
      </x:c>
      <x:c r="B286" s="2" t="n">
        <x:f>IF(A286="","",IF(AND(INDEX($B$6:$H$6,1,WEEKDAY(A286,2))=0,COUNTIF($E$10:$E$39,A286)=0),1,0))</x:f>
        <x:v>1</x:v>
      </x:c>
      <x:c r="C286" s="2" t="n">
        <x:f>IF(A286="","",IF($B$5="Naturales",1,B286))</x:f>
        <x:v>1</x:v>
      </x:c>
      <x:c r="D286" s="2"/>
      <x:c r="E286" s="2"/>
      <x:c r="F286" s="2"/>
      <x:c r="G286" s="2"/>
      <x:c r="H286" s="2"/>
    </x:row>
    <x:row r="287" ht="25" customHeight="1">
      <x:c r="A287" s="12" t="n">
        <x:f>IF($B$7&lt;&gt;"OK","",IF(YEAR(DATE($B$4,1,1)+277)=$B$4,DATE($B$4,1,1)+277,""))</x:f>
        <x:v>46665</x:v>
      </x:c>
      <x:c r="B287" s="2" t="n">
        <x:f>IF(A287="","",IF(AND(INDEX($B$6:$H$6,1,WEEKDAY(A287,2))=0,COUNTIF($E$10:$E$39,A287)=0),1,0))</x:f>
        <x:v>1</x:v>
      </x:c>
      <x:c r="C287" s="2" t="n">
        <x:f>IF(A287="","",IF($B$5="Naturales",1,B287))</x:f>
        <x:v>1</x:v>
      </x:c>
      <x:c r="D287" s="2"/>
      <x:c r="E287" s="2"/>
      <x:c r="F287" s="2"/>
      <x:c r="G287" s="2"/>
      <x:c r="H287" s="2"/>
    </x:row>
    <x:row r="288" ht="25" customHeight="1">
      <x:c r="A288" s="12" t="n">
        <x:f>IF($B$7&lt;&gt;"OK","",IF(YEAR(DATE($B$4,1,1)+278)=$B$4,DATE($B$4,1,1)+278,""))</x:f>
        <x:v>46666</x:v>
      </x:c>
      <x:c r="B288" s="2" t="n">
        <x:f>IF(A288="","",IF(AND(INDEX($B$6:$H$6,1,WEEKDAY(A288,2))=0,COUNTIF($E$10:$E$39,A288)=0),1,0))</x:f>
        <x:v>1</x:v>
      </x:c>
      <x:c r="C288" s="2" t="n">
        <x:f>IF(A288="","",IF($B$5="Naturales",1,B288))</x:f>
        <x:v>1</x:v>
      </x:c>
      <x:c r="D288" s="2"/>
      <x:c r="E288" s="2"/>
      <x:c r="F288" s="2"/>
      <x:c r="G288" s="2"/>
      <x:c r="H288" s="2"/>
    </x:row>
    <x:row r="289" ht="25" customHeight="1">
      <x:c r="A289" s="12" t="n">
        <x:f>IF($B$7&lt;&gt;"OK","",IF(YEAR(DATE($B$4,1,1)+279)=$B$4,DATE($B$4,1,1)+279,""))</x:f>
        <x:v>46667</x:v>
      </x:c>
      <x:c r="B289" s="2" t="n">
        <x:f>IF(A289="","",IF(AND(INDEX($B$6:$H$6,1,WEEKDAY(A289,2))=0,COUNTIF($E$10:$E$39,A289)=0),1,0))</x:f>
        <x:v>1</x:v>
      </x:c>
      <x:c r="C289" s="2" t="n">
        <x:f>IF(A289="","",IF($B$5="Naturales",1,B289))</x:f>
        <x:v>1</x:v>
      </x:c>
      <x:c r="D289" s="2"/>
      <x:c r="E289" s="2"/>
      <x:c r="F289" s="2"/>
      <x:c r="G289" s="2"/>
      <x:c r="H289" s="2"/>
    </x:row>
    <x:row r="290" ht="25" customHeight="1">
      <x:c r="A290" s="12" t="n">
        <x:f>IF($B$7&lt;&gt;"OK","",IF(YEAR(DATE($B$4,1,1)+280)=$B$4,DATE($B$4,1,1)+280,""))</x:f>
        <x:v>46668</x:v>
      </x:c>
      <x:c r="B290" s="2" t="n">
        <x:f>IF(A290="","",IF(AND(INDEX($B$6:$H$6,1,WEEKDAY(A290,2))=0,COUNTIF($E$10:$E$39,A290)=0),1,0))</x:f>
        <x:v>1</x:v>
      </x:c>
      <x:c r="C290" s="2" t="n">
        <x:f>IF(A290="","",IF($B$5="Naturales",1,B290))</x:f>
        <x:v>1</x:v>
      </x:c>
      <x:c r="D290" s="2"/>
      <x:c r="E290" s="2"/>
      <x:c r="F290" s="2"/>
      <x:c r="G290" s="2"/>
      <x:c r="H290" s="2"/>
    </x:row>
    <x:row r="291" ht="25" customHeight="1">
      <x:c r="A291" s="12" t="n">
        <x:f>IF($B$7&lt;&gt;"OK","",IF(YEAR(DATE($B$4,1,1)+281)=$B$4,DATE($B$4,1,1)+281,""))</x:f>
        <x:v>46669</x:v>
      </x:c>
      <x:c r="B291" s="2" t="n">
        <x:f>IF(A291="","",IF(AND(INDEX($B$6:$H$6,1,WEEKDAY(A291,2))=0,COUNTIF($E$10:$E$39,A291)=0),1,0))</x:f>
        <x:v>0</x:v>
      </x:c>
      <x:c r="C291" s="2" t="n">
        <x:f>IF(A291="","",IF($B$5="Naturales",1,B291))</x:f>
        <x:v>0</x:v>
      </x:c>
      <x:c r="D291" s="2"/>
      <x:c r="E291" s="2"/>
      <x:c r="F291" s="2"/>
      <x:c r="G291" s="2"/>
      <x:c r="H291" s="2"/>
    </x:row>
    <x:row r="292" ht="25" customHeight="1">
      <x:c r="A292" s="12" t="n">
        <x:f>IF($B$7&lt;&gt;"OK","",IF(YEAR(DATE($B$4,1,1)+282)=$B$4,DATE($B$4,1,1)+282,""))</x:f>
        <x:v>46670</x:v>
      </x:c>
      <x:c r="B292" s="2" t="n">
        <x:f>IF(A292="","",IF(AND(INDEX($B$6:$H$6,1,WEEKDAY(A292,2))=0,COUNTIF($E$10:$E$39,A292)=0),1,0))</x:f>
        <x:v>0</x:v>
      </x:c>
      <x:c r="C292" s="2" t="n">
        <x:f>IF(A292="","",IF($B$5="Naturales",1,B292))</x:f>
        <x:v>0</x:v>
      </x:c>
      <x:c r="D292" s="2"/>
      <x:c r="E292" s="2"/>
      <x:c r="F292" s="2"/>
      <x:c r="G292" s="2"/>
      <x:c r="H292" s="2"/>
    </x:row>
    <x:row r="293" ht="25" customHeight="1">
      <x:c r="A293" s="12" t="n">
        <x:f>IF($B$7&lt;&gt;"OK","",IF(YEAR(DATE($B$4,1,1)+283)=$B$4,DATE($B$4,1,1)+283,""))</x:f>
        <x:v>46671</x:v>
      </x:c>
      <x:c r="B293" s="2" t="n">
        <x:f>IF(A293="","",IF(AND(INDEX($B$6:$H$6,1,WEEKDAY(A293,2))=0,COUNTIF($E$10:$E$39,A293)=0),1,0))</x:f>
        <x:v>1</x:v>
      </x:c>
      <x:c r="C293" s="2" t="n">
        <x:f>IF(A293="","",IF($B$5="Naturales",1,B293))</x:f>
        <x:v>1</x:v>
      </x:c>
      <x:c r="D293" s="2"/>
      <x:c r="E293" s="2"/>
      <x:c r="F293" s="2"/>
      <x:c r="G293" s="2"/>
      <x:c r="H293" s="2"/>
    </x:row>
    <x:row r="294" ht="25" customHeight="1">
      <x:c r="A294" s="12" t="n">
        <x:f>IF($B$7&lt;&gt;"OK","",IF(YEAR(DATE($B$4,1,1)+284)=$B$4,DATE($B$4,1,1)+284,""))</x:f>
        <x:v>46672</x:v>
      </x:c>
      <x:c r="B294" s="2" t="n">
        <x:f>IF(A294="","",IF(AND(INDEX($B$6:$H$6,1,WEEKDAY(A294,2))=0,COUNTIF($E$10:$E$39,A294)=0),1,0))</x:f>
        <x:v>1</x:v>
      </x:c>
      <x:c r="C294" s="2" t="n">
        <x:f>IF(A294="","",IF($B$5="Naturales",1,B294))</x:f>
        <x:v>1</x:v>
      </x:c>
      <x:c r="D294" s="2"/>
      <x:c r="E294" s="2"/>
      <x:c r="F294" s="2"/>
      <x:c r="G294" s="2"/>
      <x:c r="H294" s="2"/>
    </x:row>
    <x:row r="295" ht="25" customHeight="1">
      <x:c r="A295" s="12" t="n">
        <x:f>IF($B$7&lt;&gt;"OK","",IF(YEAR(DATE($B$4,1,1)+285)=$B$4,DATE($B$4,1,1)+285,""))</x:f>
        <x:v>46673</x:v>
      </x:c>
      <x:c r="B295" s="2" t="n">
        <x:f>IF(A295="","",IF(AND(INDEX($B$6:$H$6,1,WEEKDAY(A295,2))=0,COUNTIF($E$10:$E$39,A295)=0),1,0))</x:f>
        <x:v>1</x:v>
      </x:c>
      <x:c r="C295" s="2" t="n">
        <x:f>IF(A295="","",IF($B$5="Naturales",1,B295))</x:f>
        <x:v>1</x:v>
      </x:c>
      <x:c r="D295" s="2"/>
      <x:c r="E295" s="2"/>
      <x:c r="F295" s="2"/>
      <x:c r="G295" s="2"/>
      <x:c r="H295" s="2"/>
    </x:row>
    <x:row r="296" ht="25" customHeight="1">
      <x:c r="A296" s="12" t="n">
        <x:f>IF($B$7&lt;&gt;"OK","",IF(YEAR(DATE($B$4,1,1)+286)=$B$4,DATE($B$4,1,1)+286,""))</x:f>
        <x:v>46674</x:v>
      </x:c>
      <x:c r="B296" s="2" t="n">
        <x:f>IF(A296="","",IF(AND(INDEX($B$6:$H$6,1,WEEKDAY(A296,2))=0,COUNTIF($E$10:$E$39,A296)=0),1,0))</x:f>
        <x:v>1</x:v>
      </x:c>
      <x:c r="C296" s="2" t="n">
        <x:f>IF(A296="","",IF($B$5="Naturales",1,B296))</x:f>
        <x:v>1</x:v>
      </x:c>
      <x:c r="D296" s="2"/>
      <x:c r="E296" s="2"/>
      <x:c r="F296" s="2"/>
      <x:c r="G296" s="2"/>
      <x:c r="H296" s="2"/>
    </x:row>
    <x:row r="297" ht="25" customHeight="1">
      <x:c r="A297" s="12" t="n">
        <x:f>IF($B$7&lt;&gt;"OK","",IF(YEAR(DATE($B$4,1,1)+287)=$B$4,DATE($B$4,1,1)+287,""))</x:f>
        <x:v>46675</x:v>
      </x:c>
      <x:c r="B297" s="2" t="n">
        <x:f>IF(A297="","",IF(AND(INDEX($B$6:$H$6,1,WEEKDAY(A297,2))=0,COUNTIF($E$10:$E$39,A297)=0),1,0))</x:f>
        <x:v>1</x:v>
      </x:c>
      <x:c r="C297" s="2" t="n">
        <x:f>IF(A297="","",IF($B$5="Naturales",1,B297))</x:f>
        <x:v>1</x:v>
      </x:c>
      <x:c r="D297" s="2"/>
      <x:c r="E297" s="2"/>
      <x:c r="F297" s="2"/>
      <x:c r="G297" s="2"/>
      <x:c r="H297" s="2"/>
    </x:row>
    <x:row r="298" ht="25" customHeight="1">
      <x:c r="A298" s="12" t="n">
        <x:f>IF($B$7&lt;&gt;"OK","",IF(YEAR(DATE($B$4,1,1)+288)=$B$4,DATE($B$4,1,1)+288,""))</x:f>
        <x:v>46676</x:v>
      </x:c>
      <x:c r="B298" s="2" t="n">
        <x:f>IF(A298="","",IF(AND(INDEX($B$6:$H$6,1,WEEKDAY(A298,2))=0,COUNTIF($E$10:$E$39,A298)=0),1,0))</x:f>
        <x:v>0</x:v>
      </x:c>
      <x:c r="C298" s="2" t="n">
        <x:f>IF(A298="","",IF($B$5="Naturales",1,B298))</x:f>
        <x:v>0</x:v>
      </x:c>
      <x:c r="D298" s="2"/>
      <x:c r="E298" s="2"/>
      <x:c r="F298" s="2"/>
      <x:c r="G298" s="2"/>
      <x:c r="H298" s="2"/>
    </x:row>
    <x:row r="299" ht="25" customHeight="1">
      <x:c r="A299" s="12" t="n">
        <x:f>IF($B$7&lt;&gt;"OK","",IF(YEAR(DATE($B$4,1,1)+289)=$B$4,DATE($B$4,1,1)+289,""))</x:f>
        <x:v>46677</x:v>
      </x:c>
      <x:c r="B299" s="2" t="n">
        <x:f>IF(A299="","",IF(AND(INDEX($B$6:$H$6,1,WEEKDAY(A299,2))=0,COUNTIF($E$10:$E$39,A299)=0),1,0))</x:f>
        <x:v>0</x:v>
      </x:c>
      <x:c r="C299" s="2" t="n">
        <x:f>IF(A299="","",IF($B$5="Naturales",1,B299))</x:f>
        <x:v>0</x:v>
      </x:c>
      <x:c r="D299" s="2"/>
      <x:c r="E299" s="2"/>
      <x:c r="F299" s="2"/>
      <x:c r="G299" s="2"/>
      <x:c r="H299" s="2"/>
    </x:row>
    <x:row r="300" ht="25" customHeight="1">
      <x:c r="A300" s="12" t="n">
        <x:f>IF($B$7&lt;&gt;"OK","",IF(YEAR(DATE($B$4,1,1)+290)=$B$4,DATE($B$4,1,1)+290,""))</x:f>
        <x:v>46678</x:v>
      </x:c>
      <x:c r="B300" s="2" t="n">
        <x:f>IF(A300="","",IF(AND(INDEX($B$6:$H$6,1,WEEKDAY(A300,2))=0,COUNTIF($E$10:$E$39,A300)=0),1,0))</x:f>
        <x:v>1</x:v>
      </x:c>
      <x:c r="C300" s="2" t="n">
        <x:f>IF(A300="","",IF($B$5="Naturales",1,B300))</x:f>
        <x:v>1</x:v>
      </x:c>
      <x:c r="D300" s="2"/>
      <x:c r="E300" s="2"/>
      <x:c r="F300" s="2"/>
      <x:c r="G300" s="2"/>
      <x:c r="H300" s="2"/>
    </x:row>
    <x:row r="301" ht="25" customHeight="1">
      <x:c r="A301" s="12" t="n">
        <x:f>IF($B$7&lt;&gt;"OK","",IF(YEAR(DATE($B$4,1,1)+291)=$B$4,DATE($B$4,1,1)+291,""))</x:f>
        <x:v>46679</x:v>
      </x:c>
      <x:c r="B301" s="2" t="n">
        <x:f>IF(A301="","",IF(AND(INDEX($B$6:$H$6,1,WEEKDAY(A301,2))=0,COUNTIF($E$10:$E$39,A301)=0),1,0))</x:f>
        <x:v>1</x:v>
      </x:c>
      <x:c r="C301" s="2" t="n">
        <x:f>IF(A301="","",IF($B$5="Naturales",1,B301))</x:f>
        <x:v>1</x:v>
      </x:c>
      <x:c r="D301" s="2"/>
      <x:c r="E301" s="2"/>
      <x:c r="F301" s="2"/>
      <x:c r="G301" s="2"/>
      <x:c r="H301" s="2"/>
    </x:row>
    <x:row r="302" ht="25" customHeight="1">
      <x:c r="A302" s="12" t="n">
        <x:f>IF($B$7&lt;&gt;"OK","",IF(YEAR(DATE($B$4,1,1)+292)=$B$4,DATE($B$4,1,1)+292,""))</x:f>
        <x:v>46680</x:v>
      </x:c>
      <x:c r="B302" s="2" t="n">
        <x:f>IF(A302="","",IF(AND(INDEX($B$6:$H$6,1,WEEKDAY(A302,2))=0,COUNTIF($E$10:$E$39,A302)=0),1,0))</x:f>
        <x:v>1</x:v>
      </x:c>
      <x:c r="C302" s="2" t="n">
        <x:f>IF(A302="","",IF($B$5="Naturales",1,B302))</x:f>
        <x:v>1</x:v>
      </x:c>
      <x:c r="D302" s="2"/>
      <x:c r="E302" s="2"/>
      <x:c r="F302" s="2"/>
      <x:c r="G302" s="2"/>
      <x:c r="H302" s="2"/>
    </x:row>
    <x:row r="303" ht="25" customHeight="1">
      <x:c r="A303" s="12" t="n">
        <x:f>IF($B$7&lt;&gt;"OK","",IF(YEAR(DATE($B$4,1,1)+293)=$B$4,DATE($B$4,1,1)+293,""))</x:f>
        <x:v>46681</x:v>
      </x:c>
      <x:c r="B303" s="2" t="n">
        <x:f>IF(A303="","",IF(AND(INDEX($B$6:$H$6,1,WEEKDAY(A303,2))=0,COUNTIF($E$10:$E$39,A303)=0),1,0))</x:f>
        <x:v>1</x:v>
      </x:c>
      <x:c r="C303" s="2" t="n">
        <x:f>IF(A303="","",IF($B$5="Naturales",1,B303))</x:f>
        <x:v>1</x:v>
      </x:c>
      <x:c r="D303" s="2"/>
      <x:c r="E303" s="2"/>
      <x:c r="F303" s="2"/>
      <x:c r="G303" s="2"/>
      <x:c r="H303" s="2"/>
    </x:row>
    <x:row r="304" ht="25" customHeight="1">
      <x:c r="A304" s="12" t="n">
        <x:f>IF($B$7&lt;&gt;"OK","",IF(YEAR(DATE($B$4,1,1)+294)=$B$4,DATE($B$4,1,1)+294,""))</x:f>
        <x:v>46682</x:v>
      </x:c>
      <x:c r="B304" s="2" t="n">
        <x:f>IF(A304="","",IF(AND(INDEX($B$6:$H$6,1,WEEKDAY(A304,2))=0,COUNTIF($E$10:$E$39,A304)=0),1,0))</x:f>
        <x:v>1</x:v>
      </x:c>
      <x:c r="C304" s="2" t="n">
        <x:f>IF(A304="","",IF($B$5="Naturales",1,B304))</x:f>
        <x:v>1</x:v>
      </x:c>
      <x:c r="D304" s="2"/>
      <x:c r="E304" s="2"/>
      <x:c r="F304" s="2"/>
      <x:c r="G304" s="2"/>
      <x:c r="H304" s="2"/>
    </x:row>
    <x:row r="305" ht="25" customHeight="1">
      <x:c r="A305" s="12" t="n">
        <x:f>IF($B$7&lt;&gt;"OK","",IF(YEAR(DATE($B$4,1,1)+295)=$B$4,DATE($B$4,1,1)+295,""))</x:f>
        <x:v>46683</x:v>
      </x:c>
      <x:c r="B305" s="2" t="n">
        <x:f>IF(A305="","",IF(AND(INDEX($B$6:$H$6,1,WEEKDAY(A305,2))=0,COUNTIF($E$10:$E$39,A305)=0),1,0))</x:f>
        <x:v>0</x:v>
      </x:c>
      <x:c r="C305" s="2" t="n">
        <x:f>IF(A305="","",IF($B$5="Naturales",1,B305))</x:f>
        <x:v>0</x:v>
      </x:c>
      <x:c r="D305" s="2"/>
      <x:c r="E305" s="2"/>
      <x:c r="F305" s="2"/>
      <x:c r="G305" s="2"/>
      <x:c r="H305" s="2"/>
    </x:row>
    <x:row r="306" ht="25" customHeight="1">
      <x:c r="A306" s="12" t="n">
        <x:f>IF($B$7&lt;&gt;"OK","",IF(YEAR(DATE($B$4,1,1)+296)=$B$4,DATE($B$4,1,1)+296,""))</x:f>
        <x:v>46684</x:v>
      </x:c>
      <x:c r="B306" s="2" t="n">
        <x:f>IF(A306="","",IF(AND(INDEX($B$6:$H$6,1,WEEKDAY(A306,2))=0,COUNTIF($E$10:$E$39,A306)=0),1,0))</x:f>
        <x:v>0</x:v>
      </x:c>
      <x:c r="C306" s="2" t="n">
        <x:f>IF(A306="","",IF($B$5="Naturales",1,B306))</x:f>
        <x:v>0</x:v>
      </x:c>
      <x:c r="D306" s="2"/>
      <x:c r="E306" s="2"/>
      <x:c r="F306" s="2"/>
      <x:c r="G306" s="2"/>
      <x:c r="H306" s="2"/>
    </x:row>
    <x:row r="307" ht="25" customHeight="1">
      <x:c r="A307" s="12" t="n">
        <x:f>IF($B$7&lt;&gt;"OK","",IF(YEAR(DATE($B$4,1,1)+297)=$B$4,DATE($B$4,1,1)+297,""))</x:f>
        <x:v>46685</x:v>
      </x:c>
      <x:c r="B307" s="2" t="n">
        <x:f>IF(A307="","",IF(AND(INDEX($B$6:$H$6,1,WEEKDAY(A307,2))=0,COUNTIF($E$10:$E$39,A307)=0),1,0))</x:f>
        <x:v>1</x:v>
      </x:c>
      <x:c r="C307" s="2" t="n">
        <x:f>IF(A307="","",IF($B$5="Naturales",1,B307))</x:f>
        <x:v>1</x:v>
      </x:c>
      <x:c r="D307" s="2"/>
      <x:c r="E307" s="2"/>
      <x:c r="F307" s="2"/>
      <x:c r="G307" s="2"/>
      <x:c r="H307" s="2"/>
    </x:row>
    <x:row r="308" ht="25" customHeight="1">
      <x:c r="A308" s="12" t="n">
        <x:f>IF($B$7&lt;&gt;"OK","",IF(YEAR(DATE($B$4,1,1)+298)=$B$4,DATE($B$4,1,1)+298,""))</x:f>
        <x:v>46686</x:v>
      </x:c>
      <x:c r="B308" s="2" t="n">
        <x:f>IF(A308="","",IF(AND(INDEX($B$6:$H$6,1,WEEKDAY(A308,2))=0,COUNTIF($E$10:$E$39,A308)=0),1,0))</x:f>
        <x:v>1</x:v>
      </x:c>
      <x:c r="C308" s="2" t="n">
        <x:f>IF(A308="","",IF($B$5="Naturales",1,B308))</x:f>
        <x:v>1</x:v>
      </x:c>
      <x:c r="D308" s="2"/>
      <x:c r="E308" s="2"/>
      <x:c r="F308" s="2"/>
      <x:c r="G308" s="2"/>
      <x:c r="H308" s="2"/>
    </x:row>
    <x:row r="309" ht="25" customHeight="1">
      <x:c r="A309" s="12" t="n">
        <x:f>IF($B$7&lt;&gt;"OK","",IF(YEAR(DATE($B$4,1,1)+299)=$B$4,DATE($B$4,1,1)+299,""))</x:f>
        <x:v>46687</x:v>
      </x:c>
      <x:c r="B309" s="2" t="n">
        <x:f>IF(A309="","",IF(AND(INDEX($B$6:$H$6,1,WEEKDAY(A309,2))=0,COUNTIF($E$10:$E$39,A309)=0),1,0))</x:f>
        <x:v>1</x:v>
      </x:c>
      <x:c r="C309" s="2" t="n">
        <x:f>IF(A309="","",IF($B$5="Naturales",1,B309))</x:f>
        <x:v>1</x:v>
      </x:c>
      <x:c r="D309" s="2"/>
      <x:c r="E309" s="2"/>
      <x:c r="F309" s="2"/>
      <x:c r="G309" s="2"/>
      <x:c r="H309" s="2"/>
    </x:row>
    <x:row r="310" ht="25" customHeight="1">
      <x:c r="A310" s="12" t="n">
        <x:f>IF($B$7&lt;&gt;"OK","",IF(YEAR(DATE($B$4,1,1)+300)=$B$4,DATE($B$4,1,1)+300,""))</x:f>
        <x:v>46688</x:v>
      </x:c>
      <x:c r="B310" s="2" t="n">
        <x:f>IF(A310="","",IF(AND(INDEX($B$6:$H$6,1,WEEKDAY(A310,2))=0,COUNTIF($E$10:$E$39,A310)=0),1,0))</x:f>
        <x:v>1</x:v>
      </x:c>
      <x:c r="C310" s="2" t="n">
        <x:f>IF(A310="","",IF($B$5="Naturales",1,B310))</x:f>
        <x:v>1</x:v>
      </x:c>
      <x:c r="D310" s="2"/>
      <x:c r="E310" s="2"/>
      <x:c r="F310" s="2"/>
      <x:c r="G310" s="2"/>
      <x:c r="H310" s="2"/>
    </x:row>
    <x:row r="311" ht="25" customHeight="1">
      <x:c r="A311" s="12" t="n">
        <x:f>IF($B$7&lt;&gt;"OK","",IF(YEAR(DATE($B$4,1,1)+301)=$B$4,DATE($B$4,1,1)+301,""))</x:f>
        <x:v>46689</x:v>
      </x:c>
      <x:c r="B311" s="2" t="n">
        <x:f>IF(A311="","",IF(AND(INDEX($B$6:$H$6,1,WEEKDAY(A311,2))=0,COUNTIF($E$10:$E$39,A311)=0),1,0))</x:f>
        <x:v>1</x:v>
      </x:c>
      <x:c r="C311" s="2" t="n">
        <x:f>IF(A311="","",IF($B$5="Naturales",1,B311))</x:f>
        <x:v>1</x:v>
      </x:c>
      <x:c r="D311" s="2"/>
      <x:c r="E311" s="2"/>
      <x:c r="F311" s="2"/>
      <x:c r="G311" s="2"/>
      <x:c r="H311" s="2"/>
    </x:row>
    <x:row r="312" ht="25" customHeight="1">
      <x:c r="A312" s="12" t="n">
        <x:f>IF($B$7&lt;&gt;"OK","",IF(YEAR(DATE($B$4,1,1)+302)=$B$4,DATE($B$4,1,1)+302,""))</x:f>
        <x:v>46690</x:v>
      </x:c>
      <x:c r="B312" s="2" t="n">
        <x:f>IF(A312="","",IF(AND(INDEX($B$6:$H$6,1,WEEKDAY(A312,2))=0,COUNTIF($E$10:$E$39,A312)=0),1,0))</x:f>
        <x:v>0</x:v>
      </x:c>
      <x:c r="C312" s="2" t="n">
        <x:f>IF(A312="","",IF($B$5="Naturales",1,B312))</x:f>
        <x:v>0</x:v>
      </x:c>
      <x:c r="D312" s="2"/>
      <x:c r="E312" s="2"/>
      <x:c r="F312" s="2"/>
      <x:c r="G312" s="2"/>
      <x:c r="H312" s="2"/>
    </x:row>
    <x:row r="313" ht="25" customHeight="1">
      <x:c r="A313" s="12" t="n">
        <x:f>IF($B$7&lt;&gt;"OK","",IF(YEAR(DATE($B$4,1,1)+303)=$B$4,DATE($B$4,1,1)+303,""))</x:f>
        <x:v>46691</x:v>
      </x:c>
      <x:c r="B313" s="2" t="n">
        <x:f>IF(A313="","",IF(AND(INDEX($B$6:$H$6,1,WEEKDAY(A313,2))=0,COUNTIF($E$10:$E$39,A313)=0),1,0))</x:f>
        <x:v>0</x:v>
      </x:c>
      <x:c r="C313" s="2" t="n">
        <x:f>IF(A313="","",IF($B$5="Naturales",1,B313))</x:f>
        <x:v>0</x:v>
      </x:c>
      <x:c r="D313" s="2"/>
      <x:c r="E313" s="2"/>
      <x:c r="F313" s="2"/>
      <x:c r="G313" s="2"/>
      <x:c r="H313" s="2"/>
    </x:row>
    <x:row r="314" ht="25" customHeight="1">
      <x:c r="A314" s="12" t="n">
        <x:f>IF($B$7&lt;&gt;"OK","",IF(YEAR(DATE($B$4,1,1)+304)=$B$4,DATE($B$4,1,1)+304,""))</x:f>
        <x:v>46692</x:v>
      </x:c>
      <x:c r="B314" s="2" t="n">
        <x:f>IF(A314="","",IF(AND(INDEX($B$6:$H$6,1,WEEKDAY(A314,2))=0,COUNTIF($E$10:$E$39,A314)=0),1,0))</x:f>
        <x:v>1</x:v>
      </x:c>
      <x:c r="C314" s="2" t="n">
        <x:f>IF(A314="","",IF($B$5="Naturales",1,B314))</x:f>
        <x:v>1</x:v>
      </x:c>
      <x:c r="D314" s="2"/>
      <x:c r="E314" s="2"/>
      <x:c r="F314" s="2"/>
      <x:c r="G314" s="2"/>
      <x:c r="H314" s="2"/>
    </x:row>
    <x:row r="315" ht="25" customHeight="1">
      <x:c r="A315" s="12" t="n">
        <x:f>IF($B$7&lt;&gt;"OK","",IF(YEAR(DATE($B$4,1,1)+305)=$B$4,DATE($B$4,1,1)+305,""))</x:f>
        <x:v>46693</x:v>
      </x:c>
      <x:c r="B315" s="2" t="n">
        <x:f>IF(A315="","",IF(AND(INDEX($B$6:$H$6,1,WEEKDAY(A315,2))=0,COUNTIF($E$10:$E$39,A315)=0),1,0))</x:f>
        <x:v>1</x:v>
      </x:c>
      <x:c r="C315" s="2" t="n">
        <x:f>IF(A315="","",IF($B$5="Naturales",1,B315))</x:f>
        <x:v>1</x:v>
      </x:c>
      <x:c r="D315" s="2"/>
      <x:c r="E315" s="2"/>
      <x:c r="F315" s="2"/>
      <x:c r="G315" s="2"/>
      <x:c r="H315" s="2"/>
    </x:row>
    <x:row r="316" ht="25" customHeight="1">
      <x:c r="A316" s="12" t="n">
        <x:f>IF($B$7&lt;&gt;"OK","",IF(YEAR(DATE($B$4,1,1)+306)=$B$4,DATE($B$4,1,1)+306,""))</x:f>
        <x:v>46694</x:v>
      </x:c>
      <x:c r="B316" s="2" t="n">
        <x:f>IF(A316="","",IF(AND(INDEX($B$6:$H$6,1,WEEKDAY(A316,2))=0,COUNTIF($E$10:$E$39,A316)=0),1,0))</x:f>
        <x:v>1</x:v>
      </x:c>
      <x:c r="C316" s="2" t="n">
        <x:f>IF(A316="","",IF($B$5="Naturales",1,B316))</x:f>
        <x:v>1</x:v>
      </x:c>
      <x:c r="D316" s="2"/>
      <x:c r="E316" s="2"/>
      <x:c r="F316" s="2"/>
      <x:c r="G316" s="2"/>
      <x:c r="H316" s="2"/>
    </x:row>
    <x:row r="317" ht="25" customHeight="1">
      <x:c r="A317" s="12" t="n">
        <x:f>IF($B$7&lt;&gt;"OK","",IF(YEAR(DATE($B$4,1,1)+307)=$B$4,DATE($B$4,1,1)+307,""))</x:f>
        <x:v>46695</x:v>
      </x:c>
      <x:c r="B317" s="2" t="n">
        <x:f>IF(A317="","",IF(AND(INDEX($B$6:$H$6,1,WEEKDAY(A317,2))=0,COUNTIF($E$10:$E$39,A317)=0),1,0))</x:f>
        <x:v>1</x:v>
      </x:c>
      <x:c r="C317" s="2" t="n">
        <x:f>IF(A317="","",IF($B$5="Naturales",1,B317))</x:f>
        <x:v>1</x:v>
      </x:c>
      <x:c r="D317" s="2"/>
      <x:c r="E317" s="2"/>
      <x:c r="F317" s="2"/>
      <x:c r="G317" s="2"/>
      <x:c r="H317" s="2"/>
    </x:row>
    <x:row r="318" ht="25" customHeight="1">
      <x:c r="A318" s="12" t="n">
        <x:f>IF($B$7&lt;&gt;"OK","",IF(YEAR(DATE($B$4,1,1)+308)=$B$4,DATE($B$4,1,1)+308,""))</x:f>
        <x:v>46696</x:v>
      </x:c>
      <x:c r="B318" s="2" t="n">
        <x:f>IF(A318="","",IF(AND(INDEX($B$6:$H$6,1,WEEKDAY(A318,2))=0,COUNTIF($E$10:$E$39,A318)=0),1,0))</x:f>
        <x:v>1</x:v>
      </x:c>
      <x:c r="C318" s="2" t="n">
        <x:f>IF(A318="","",IF($B$5="Naturales",1,B318))</x:f>
        <x:v>1</x:v>
      </x:c>
      <x:c r="D318" s="2"/>
      <x:c r="E318" s="2"/>
      <x:c r="F318" s="2"/>
      <x:c r="G318" s="2"/>
      <x:c r="H318" s="2"/>
    </x:row>
    <x:row r="319" ht="25" customHeight="1">
      <x:c r="A319" s="12" t="n">
        <x:f>IF($B$7&lt;&gt;"OK","",IF(YEAR(DATE($B$4,1,1)+309)=$B$4,DATE($B$4,1,1)+309,""))</x:f>
        <x:v>46697</x:v>
      </x:c>
      <x:c r="B319" s="2" t="n">
        <x:f>IF(A319="","",IF(AND(INDEX($B$6:$H$6,1,WEEKDAY(A319,2))=0,COUNTIF($E$10:$E$39,A319)=0),1,0))</x:f>
        <x:v>0</x:v>
      </x:c>
      <x:c r="C319" s="2" t="n">
        <x:f>IF(A319="","",IF($B$5="Naturales",1,B319))</x:f>
        <x:v>0</x:v>
      </x:c>
      <x:c r="D319" s="2"/>
      <x:c r="E319" s="2"/>
      <x:c r="F319" s="2"/>
      <x:c r="G319" s="2"/>
      <x:c r="H319" s="2"/>
    </x:row>
    <x:row r="320" ht="25" customHeight="1">
      <x:c r="A320" s="12" t="n">
        <x:f>IF($B$7&lt;&gt;"OK","",IF(YEAR(DATE($B$4,1,1)+310)=$B$4,DATE($B$4,1,1)+310,""))</x:f>
        <x:v>46698</x:v>
      </x:c>
      <x:c r="B320" s="2" t="n">
        <x:f>IF(A320="","",IF(AND(INDEX($B$6:$H$6,1,WEEKDAY(A320,2))=0,COUNTIF($E$10:$E$39,A320)=0),1,0))</x:f>
        <x:v>0</x:v>
      </x:c>
      <x:c r="C320" s="2" t="n">
        <x:f>IF(A320="","",IF($B$5="Naturales",1,B320))</x:f>
        <x:v>0</x:v>
      </x:c>
      <x:c r="D320" s="2"/>
      <x:c r="E320" s="2"/>
      <x:c r="F320" s="2"/>
      <x:c r="G320" s="2"/>
      <x:c r="H320" s="2"/>
    </x:row>
    <x:row r="321" ht="25" customHeight="1">
      <x:c r="A321" s="12" t="n">
        <x:f>IF($B$7&lt;&gt;"OK","",IF(YEAR(DATE($B$4,1,1)+311)=$B$4,DATE($B$4,1,1)+311,""))</x:f>
        <x:v>46699</x:v>
      </x:c>
      <x:c r="B321" s="2" t="n">
        <x:f>IF(A321="","",IF(AND(INDEX($B$6:$H$6,1,WEEKDAY(A321,2))=0,COUNTIF($E$10:$E$39,A321)=0),1,0))</x:f>
        <x:v>1</x:v>
      </x:c>
      <x:c r="C321" s="2" t="n">
        <x:f>IF(A321="","",IF($B$5="Naturales",1,B321))</x:f>
        <x:v>1</x:v>
      </x:c>
      <x:c r="D321" s="2"/>
      <x:c r="E321" s="2"/>
      <x:c r="F321" s="2"/>
      <x:c r="G321" s="2"/>
      <x:c r="H321" s="2"/>
    </x:row>
    <x:row r="322" ht="25" customHeight="1">
      <x:c r="A322" s="12" t="n">
        <x:f>IF($B$7&lt;&gt;"OK","",IF(YEAR(DATE($B$4,1,1)+312)=$B$4,DATE($B$4,1,1)+312,""))</x:f>
        <x:v>46700</x:v>
      </x:c>
      <x:c r="B322" s="2" t="n">
        <x:f>IF(A322="","",IF(AND(INDEX($B$6:$H$6,1,WEEKDAY(A322,2))=0,COUNTIF($E$10:$E$39,A322)=0),1,0))</x:f>
        <x:v>1</x:v>
      </x:c>
      <x:c r="C322" s="2" t="n">
        <x:f>IF(A322="","",IF($B$5="Naturales",1,B322))</x:f>
        <x:v>1</x:v>
      </x:c>
      <x:c r="D322" s="2"/>
      <x:c r="E322" s="2"/>
      <x:c r="F322" s="2"/>
      <x:c r="G322" s="2"/>
      <x:c r="H322" s="2"/>
    </x:row>
    <x:row r="323" ht="25" customHeight="1">
      <x:c r="A323" s="12" t="n">
        <x:f>IF($B$7&lt;&gt;"OK","",IF(YEAR(DATE($B$4,1,1)+313)=$B$4,DATE($B$4,1,1)+313,""))</x:f>
        <x:v>46701</x:v>
      </x:c>
      <x:c r="B323" s="2" t="n">
        <x:f>IF(A323="","",IF(AND(INDEX($B$6:$H$6,1,WEEKDAY(A323,2))=0,COUNTIF($E$10:$E$39,A323)=0),1,0))</x:f>
        <x:v>1</x:v>
      </x:c>
      <x:c r="C323" s="2" t="n">
        <x:f>IF(A323="","",IF($B$5="Naturales",1,B323))</x:f>
        <x:v>1</x:v>
      </x:c>
      <x:c r="D323" s="2"/>
      <x:c r="E323" s="2"/>
      <x:c r="F323" s="2"/>
      <x:c r="G323" s="2"/>
      <x:c r="H323" s="2"/>
    </x:row>
    <x:row r="324" ht="25" customHeight="1">
      <x:c r="A324" s="12" t="n">
        <x:f>IF($B$7&lt;&gt;"OK","",IF(YEAR(DATE($B$4,1,1)+314)=$B$4,DATE($B$4,1,1)+314,""))</x:f>
        <x:v>46702</x:v>
      </x:c>
      <x:c r="B324" s="2" t="n">
        <x:f>IF(A324="","",IF(AND(INDEX($B$6:$H$6,1,WEEKDAY(A324,2))=0,COUNTIF($E$10:$E$39,A324)=0),1,0))</x:f>
        <x:v>1</x:v>
      </x:c>
      <x:c r="C324" s="2" t="n">
        <x:f>IF(A324="","",IF($B$5="Naturales",1,B324))</x:f>
        <x:v>1</x:v>
      </x:c>
      <x:c r="D324" s="2"/>
      <x:c r="E324" s="2"/>
      <x:c r="F324" s="2"/>
      <x:c r="G324" s="2"/>
      <x:c r="H324" s="2"/>
    </x:row>
    <x:row r="325" ht="25" customHeight="1">
      <x:c r="A325" s="12" t="n">
        <x:f>IF($B$7&lt;&gt;"OK","",IF(YEAR(DATE($B$4,1,1)+315)=$B$4,DATE($B$4,1,1)+315,""))</x:f>
        <x:v>46703</x:v>
      </x:c>
      <x:c r="B325" s="2" t="n">
        <x:f>IF(A325="","",IF(AND(INDEX($B$6:$H$6,1,WEEKDAY(A325,2))=0,COUNTIF($E$10:$E$39,A325)=0),1,0))</x:f>
        <x:v>1</x:v>
      </x:c>
      <x:c r="C325" s="2" t="n">
        <x:f>IF(A325="","",IF($B$5="Naturales",1,B325))</x:f>
        <x:v>1</x:v>
      </x:c>
      <x:c r="D325" s="2"/>
      <x:c r="E325" s="2"/>
      <x:c r="F325" s="2"/>
      <x:c r="G325" s="2"/>
      <x:c r="H325" s="2"/>
    </x:row>
    <x:row r="326" ht="25" customHeight="1">
      <x:c r="A326" s="12" t="n">
        <x:f>IF($B$7&lt;&gt;"OK","",IF(YEAR(DATE($B$4,1,1)+316)=$B$4,DATE($B$4,1,1)+316,""))</x:f>
        <x:v>46704</x:v>
      </x:c>
      <x:c r="B326" s="2" t="n">
        <x:f>IF(A326="","",IF(AND(INDEX($B$6:$H$6,1,WEEKDAY(A326,2))=0,COUNTIF($E$10:$E$39,A326)=0),1,0))</x:f>
        <x:v>0</x:v>
      </x:c>
      <x:c r="C326" s="2" t="n">
        <x:f>IF(A326="","",IF($B$5="Naturales",1,B326))</x:f>
        <x:v>0</x:v>
      </x:c>
      <x:c r="D326" s="2"/>
      <x:c r="E326" s="2"/>
      <x:c r="F326" s="2"/>
      <x:c r="G326" s="2"/>
      <x:c r="H326" s="2"/>
    </x:row>
    <x:row r="327" ht="25" customHeight="1">
      <x:c r="A327" s="12" t="n">
        <x:f>IF($B$7&lt;&gt;"OK","",IF(YEAR(DATE($B$4,1,1)+317)=$B$4,DATE($B$4,1,1)+317,""))</x:f>
        <x:v>46705</x:v>
      </x:c>
      <x:c r="B327" s="2" t="n">
        <x:f>IF(A327="","",IF(AND(INDEX($B$6:$H$6,1,WEEKDAY(A327,2))=0,COUNTIF($E$10:$E$39,A327)=0),1,0))</x:f>
        <x:v>0</x:v>
      </x:c>
      <x:c r="C327" s="2" t="n">
        <x:f>IF(A327="","",IF($B$5="Naturales",1,B327))</x:f>
        <x:v>0</x:v>
      </x:c>
      <x:c r="D327" s="2"/>
      <x:c r="E327" s="2"/>
      <x:c r="F327" s="2"/>
      <x:c r="G327" s="2"/>
      <x:c r="H327" s="2"/>
    </x:row>
    <x:row r="328" ht="25" customHeight="1">
      <x:c r="A328" s="12" t="n">
        <x:f>IF($B$7&lt;&gt;"OK","",IF(YEAR(DATE($B$4,1,1)+318)=$B$4,DATE($B$4,1,1)+318,""))</x:f>
        <x:v>46706</x:v>
      </x:c>
      <x:c r="B328" s="2" t="n">
        <x:f>IF(A328="","",IF(AND(INDEX($B$6:$H$6,1,WEEKDAY(A328,2))=0,COUNTIF($E$10:$E$39,A328)=0),1,0))</x:f>
        <x:v>1</x:v>
      </x:c>
      <x:c r="C328" s="2" t="n">
        <x:f>IF(A328="","",IF($B$5="Naturales",1,B328))</x:f>
        <x:v>1</x:v>
      </x:c>
      <x:c r="D328" s="2"/>
      <x:c r="E328" s="2"/>
      <x:c r="F328" s="2"/>
      <x:c r="G328" s="2"/>
      <x:c r="H328" s="2"/>
    </x:row>
    <x:row r="329" ht="25" customHeight="1">
      <x:c r="A329" s="12" t="n">
        <x:f>IF($B$7&lt;&gt;"OK","",IF(YEAR(DATE($B$4,1,1)+319)=$B$4,DATE($B$4,1,1)+319,""))</x:f>
        <x:v>46707</x:v>
      </x:c>
      <x:c r="B329" s="2" t="n">
        <x:f>IF(A329="","",IF(AND(INDEX($B$6:$H$6,1,WEEKDAY(A329,2))=0,COUNTIF($E$10:$E$39,A329)=0),1,0))</x:f>
        <x:v>1</x:v>
      </x:c>
      <x:c r="C329" s="2" t="n">
        <x:f>IF(A329="","",IF($B$5="Naturales",1,B329))</x:f>
        <x:v>1</x:v>
      </x:c>
      <x:c r="D329" s="2"/>
      <x:c r="E329" s="2"/>
      <x:c r="F329" s="2"/>
      <x:c r="G329" s="2"/>
      <x:c r="H329" s="2"/>
    </x:row>
    <x:row r="330" ht="25" customHeight="1">
      <x:c r="A330" s="12" t="n">
        <x:f>IF($B$7&lt;&gt;"OK","",IF(YEAR(DATE($B$4,1,1)+320)=$B$4,DATE($B$4,1,1)+320,""))</x:f>
        <x:v>46708</x:v>
      </x:c>
      <x:c r="B330" s="2" t="n">
        <x:f>IF(A330="","",IF(AND(INDEX($B$6:$H$6,1,WEEKDAY(A330,2))=0,COUNTIF($E$10:$E$39,A330)=0),1,0))</x:f>
        <x:v>1</x:v>
      </x:c>
      <x:c r="C330" s="2" t="n">
        <x:f>IF(A330="","",IF($B$5="Naturales",1,B330))</x:f>
        <x:v>1</x:v>
      </x:c>
      <x:c r="D330" s="2"/>
      <x:c r="E330" s="2"/>
      <x:c r="F330" s="2"/>
      <x:c r="G330" s="2"/>
      <x:c r="H330" s="2"/>
    </x:row>
    <x:row r="331" ht="25" customHeight="1">
      <x:c r="A331" s="12" t="n">
        <x:f>IF($B$7&lt;&gt;"OK","",IF(YEAR(DATE($B$4,1,1)+321)=$B$4,DATE($B$4,1,1)+321,""))</x:f>
        <x:v>46709</x:v>
      </x:c>
      <x:c r="B331" s="2" t="n">
        <x:f>IF(A331="","",IF(AND(INDEX($B$6:$H$6,1,WEEKDAY(A331,2))=0,COUNTIF($E$10:$E$39,A331)=0),1,0))</x:f>
        <x:v>1</x:v>
      </x:c>
      <x:c r="C331" s="2" t="n">
        <x:f>IF(A331="","",IF($B$5="Naturales",1,B331))</x:f>
        <x:v>1</x:v>
      </x:c>
      <x:c r="D331" s="2"/>
      <x:c r="E331" s="2"/>
      <x:c r="F331" s="2"/>
      <x:c r="G331" s="2"/>
      <x:c r="H331" s="2"/>
    </x:row>
    <x:row r="332" ht="25" customHeight="1">
      <x:c r="A332" s="12" t="n">
        <x:f>IF($B$7&lt;&gt;"OK","",IF(YEAR(DATE($B$4,1,1)+322)=$B$4,DATE($B$4,1,1)+322,""))</x:f>
        <x:v>46710</x:v>
      </x:c>
      <x:c r="B332" s="2" t="n">
        <x:f>IF(A332="","",IF(AND(INDEX($B$6:$H$6,1,WEEKDAY(A332,2))=0,COUNTIF($E$10:$E$39,A332)=0),1,0))</x:f>
        <x:v>1</x:v>
      </x:c>
      <x:c r="C332" s="2" t="n">
        <x:f>IF(A332="","",IF($B$5="Naturales",1,B332))</x:f>
        <x:v>1</x:v>
      </x:c>
      <x:c r="D332" s="2"/>
      <x:c r="E332" s="2"/>
      <x:c r="F332" s="2"/>
      <x:c r="G332" s="2"/>
      <x:c r="H332" s="2"/>
    </x:row>
    <x:row r="333" ht="25" customHeight="1">
      <x:c r="A333" s="12" t="n">
        <x:f>IF($B$7&lt;&gt;"OK","",IF(YEAR(DATE($B$4,1,1)+323)=$B$4,DATE($B$4,1,1)+323,""))</x:f>
        <x:v>46711</x:v>
      </x:c>
      <x:c r="B333" s="2" t="n">
        <x:f>IF(A333="","",IF(AND(INDEX($B$6:$H$6,1,WEEKDAY(A333,2))=0,COUNTIF($E$10:$E$39,A333)=0),1,0))</x:f>
        <x:v>0</x:v>
      </x:c>
      <x:c r="C333" s="2" t="n">
        <x:f>IF(A333="","",IF($B$5="Naturales",1,B333))</x:f>
        <x:v>0</x:v>
      </x:c>
      <x:c r="D333" s="2"/>
      <x:c r="E333" s="2"/>
      <x:c r="F333" s="2"/>
      <x:c r="G333" s="2"/>
      <x:c r="H333" s="2"/>
    </x:row>
    <x:row r="334" ht="25" customHeight="1">
      <x:c r="A334" s="12" t="n">
        <x:f>IF($B$7&lt;&gt;"OK","",IF(YEAR(DATE($B$4,1,1)+324)=$B$4,DATE($B$4,1,1)+324,""))</x:f>
        <x:v>46712</x:v>
      </x:c>
      <x:c r="B334" s="2" t="n">
        <x:f>IF(A334="","",IF(AND(INDEX($B$6:$H$6,1,WEEKDAY(A334,2))=0,COUNTIF($E$10:$E$39,A334)=0),1,0))</x:f>
        <x:v>0</x:v>
      </x:c>
      <x:c r="C334" s="2" t="n">
        <x:f>IF(A334="","",IF($B$5="Naturales",1,B334))</x:f>
        <x:v>0</x:v>
      </x:c>
      <x:c r="D334" s="2"/>
      <x:c r="E334" s="2"/>
      <x:c r="F334" s="2"/>
      <x:c r="G334" s="2"/>
      <x:c r="H334" s="2"/>
    </x:row>
    <x:row r="335" ht="25" customHeight="1">
      <x:c r="A335" s="12" t="n">
        <x:f>IF($B$7&lt;&gt;"OK","",IF(YEAR(DATE($B$4,1,1)+325)=$B$4,DATE($B$4,1,1)+325,""))</x:f>
        <x:v>46713</x:v>
      </x:c>
      <x:c r="B335" s="2" t="n">
        <x:f>IF(A335="","",IF(AND(INDEX($B$6:$H$6,1,WEEKDAY(A335,2))=0,COUNTIF($E$10:$E$39,A335)=0),1,0))</x:f>
        <x:v>1</x:v>
      </x:c>
      <x:c r="C335" s="2" t="n">
        <x:f>IF(A335="","",IF($B$5="Naturales",1,B335))</x:f>
        <x:v>1</x:v>
      </x:c>
      <x:c r="D335" s="2"/>
      <x:c r="E335" s="2"/>
      <x:c r="F335" s="2"/>
      <x:c r="G335" s="2"/>
      <x:c r="H335" s="2"/>
    </x:row>
    <x:row r="336" ht="25" customHeight="1">
      <x:c r="A336" s="12" t="n">
        <x:f>IF($B$7&lt;&gt;"OK","",IF(YEAR(DATE($B$4,1,1)+326)=$B$4,DATE($B$4,1,1)+326,""))</x:f>
        <x:v>46714</x:v>
      </x:c>
      <x:c r="B336" s="2" t="n">
        <x:f>IF(A336="","",IF(AND(INDEX($B$6:$H$6,1,WEEKDAY(A336,2))=0,COUNTIF($E$10:$E$39,A336)=0),1,0))</x:f>
        <x:v>1</x:v>
      </x:c>
      <x:c r="C336" s="2" t="n">
        <x:f>IF(A336="","",IF($B$5="Naturales",1,B336))</x:f>
        <x:v>1</x:v>
      </x:c>
      <x:c r="D336" s="2"/>
      <x:c r="E336" s="2"/>
      <x:c r="F336" s="2"/>
      <x:c r="G336" s="2"/>
      <x:c r="H336" s="2"/>
    </x:row>
    <x:row r="337" ht="25" customHeight="1">
      <x:c r="A337" s="12" t="n">
        <x:f>IF($B$7&lt;&gt;"OK","",IF(YEAR(DATE($B$4,1,1)+327)=$B$4,DATE($B$4,1,1)+327,""))</x:f>
        <x:v>46715</x:v>
      </x:c>
      <x:c r="B337" s="2" t="n">
        <x:f>IF(A337="","",IF(AND(INDEX($B$6:$H$6,1,WEEKDAY(A337,2))=0,COUNTIF($E$10:$E$39,A337)=0),1,0))</x:f>
        <x:v>1</x:v>
      </x:c>
      <x:c r="C337" s="2" t="n">
        <x:f>IF(A337="","",IF($B$5="Naturales",1,B337))</x:f>
        <x:v>1</x:v>
      </x:c>
      <x:c r="D337" s="2"/>
      <x:c r="E337" s="2"/>
      <x:c r="F337" s="2"/>
      <x:c r="G337" s="2"/>
      <x:c r="H337" s="2"/>
    </x:row>
    <x:row r="338" ht="25" customHeight="1">
      <x:c r="A338" s="12" t="n">
        <x:f>IF($B$7&lt;&gt;"OK","",IF(YEAR(DATE($B$4,1,1)+328)=$B$4,DATE($B$4,1,1)+328,""))</x:f>
        <x:v>46716</x:v>
      </x:c>
      <x:c r="B338" s="2" t="n">
        <x:f>IF(A338="","",IF(AND(INDEX($B$6:$H$6,1,WEEKDAY(A338,2))=0,COUNTIF($E$10:$E$39,A338)=0),1,0))</x:f>
        <x:v>1</x:v>
      </x:c>
      <x:c r="C338" s="2" t="n">
        <x:f>IF(A338="","",IF($B$5="Naturales",1,B338))</x:f>
        <x:v>1</x:v>
      </x:c>
      <x:c r="D338" s="2"/>
      <x:c r="E338" s="2"/>
      <x:c r="F338" s="2"/>
      <x:c r="G338" s="2"/>
      <x:c r="H338" s="2"/>
    </x:row>
    <x:row r="339" ht="25" customHeight="1">
      <x:c r="A339" s="12" t="n">
        <x:f>IF($B$7&lt;&gt;"OK","",IF(YEAR(DATE($B$4,1,1)+329)=$B$4,DATE($B$4,1,1)+329,""))</x:f>
        <x:v>46717</x:v>
      </x:c>
      <x:c r="B339" s="2" t="n">
        <x:f>IF(A339="","",IF(AND(INDEX($B$6:$H$6,1,WEEKDAY(A339,2))=0,COUNTIF($E$10:$E$39,A339)=0),1,0))</x:f>
        <x:v>1</x:v>
      </x:c>
      <x:c r="C339" s="2" t="n">
        <x:f>IF(A339="","",IF($B$5="Naturales",1,B339))</x:f>
        <x:v>1</x:v>
      </x:c>
      <x:c r="D339" s="2"/>
      <x:c r="E339" s="2"/>
      <x:c r="F339" s="2"/>
      <x:c r="G339" s="2"/>
      <x:c r="H339" s="2"/>
    </x:row>
    <x:row r="340" ht="25" customHeight="1">
      <x:c r="A340" s="12" t="n">
        <x:f>IF($B$7&lt;&gt;"OK","",IF(YEAR(DATE($B$4,1,1)+330)=$B$4,DATE($B$4,1,1)+330,""))</x:f>
        <x:v>46718</x:v>
      </x:c>
      <x:c r="B340" s="2" t="n">
        <x:f>IF(A340="","",IF(AND(INDEX($B$6:$H$6,1,WEEKDAY(A340,2))=0,COUNTIF($E$10:$E$39,A340)=0),1,0))</x:f>
        <x:v>0</x:v>
      </x:c>
      <x:c r="C340" s="2" t="n">
        <x:f>IF(A340="","",IF($B$5="Naturales",1,B340))</x:f>
        <x:v>0</x:v>
      </x:c>
      <x:c r="D340" s="2"/>
      <x:c r="E340" s="2"/>
      <x:c r="F340" s="2"/>
      <x:c r="G340" s="2"/>
      <x:c r="H340" s="2"/>
    </x:row>
    <x:row r="341" ht="25" customHeight="1">
      <x:c r="A341" s="12" t="n">
        <x:f>IF($B$7&lt;&gt;"OK","",IF(YEAR(DATE($B$4,1,1)+331)=$B$4,DATE($B$4,1,1)+331,""))</x:f>
        <x:v>46719</x:v>
      </x:c>
      <x:c r="B341" s="2" t="n">
        <x:f>IF(A341="","",IF(AND(INDEX($B$6:$H$6,1,WEEKDAY(A341,2))=0,COUNTIF($E$10:$E$39,A341)=0),1,0))</x:f>
        <x:v>0</x:v>
      </x:c>
      <x:c r="C341" s="2" t="n">
        <x:f>IF(A341="","",IF($B$5="Naturales",1,B341))</x:f>
        <x:v>0</x:v>
      </x:c>
      <x:c r="D341" s="2"/>
      <x:c r="E341" s="2"/>
      <x:c r="F341" s="2"/>
      <x:c r="G341" s="2"/>
      <x:c r="H341" s="2"/>
    </x:row>
    <x:row r="342" ht="25" customHeight="1">
      <x:c r="A342" s="12" t="n">
        <x:f>IF($B$7&lt;&gt;"OK","",IF(YEAR(DATE($B$4,1,1)+332)=$B$4,DATE($B$4,1,1)+332,""))</x:f>
        <x:v>46720</x:v>
      </x:c>
      <x:c r="B342" s="2" t="n">
        <x:f>IF(A342="","",IF(AND(INDEX($B$6:$H$6,1,WEEKDAY(A342,2))=0,COUNTIF($E$10:$E$39,A342)=0),1,0))</x:f>
        <x:v>1</x:v>
      </x:c>
      <x:c r="C342" s="2" t="n">
        <x:f>IF(A342="","",IF($B$5="Naturales",1,B342))</x:f>
        <x:v>1</x:v>
      </x:c>
      <x:c r="D342" s="2"/>
      <x:c r="E342" s="2"/>
      <x:c r="F342" s="2"/>
      <x:c r="G342" s="2"/>
      <x:c r="H342" s="2"/>
    </x:row>
    <x:row r="343" ht="25" customHeight="1">
      <x:c r="A343" s="12" t="n">
        <x:f>IF($B$7&lt;&gt;"OK","",IF(YEAR(DATE($B$4,1,1)+333)=$B$4,DATE($B$4,1,1)+333,""))</x:f>
        <x:v>46721</x:v>
      </x:c>
      <x:c r="B343" s="2" t="n">
        <x:f>IF(A343="","",IF(AND(INDEX($B$6:$H$6,1,WEEKDAY(A343,2))=0,COUNTIF($E$10:$E$39,A343)=0),1,0))</x:f>
        <x:v>1</x:v>
      </x:c>
      <x:c r="C343" s="2" t="n">
        <x:f>IF(A343="","",IF($B$5="Naturales",1,B343))</x:f>
        <x:v>1</x:v>
      </x:c>
      <x:c r="D343" s="2"/>
      <x:c r="E343" s="2"/>
      <x:c r="F343" s="2"/>
      <x:c r="G343" s="2"/>
      <x:c r="H343" s="2"/>
    </x:row>
    <x:row r="344" ht="25" customHeight="1">
      <x:c r="A344" s="12" t="n">
        <x:f>IF($B$7&lt;&gt;"OK","",IF(YEAR(DATE($B$4,1,1)+334)=$B$4,DATE($B$4,1,1)+334,""))</x:f>
        <x:v>46722</x:v>
      </x:c>
      <x:c r="B344" s="2" t="n">
        <x:f>IF(A344="","",IF(AND(INDEX($B$6:$H$6,1,WEEKDAY(A344,2))=0,COUNTIF($E$10:$E$39,A344)=0),1,0))</x:f>
        <x:v>1</x:v>
      </x:c>
      <x:c r="C344" s="2" t="n">
        <x:f>IF(A344="","",IF($B$5="Naturales",1,B344))</x:f>
        <x:v>1</x:v>
      </x:c>
      <x:c r="D344" s="2"/>
      <x:c r="E344" s="2"/>
      <x:c r="F344" s="2"/>
      <x:c r="G344" s="2"/>
      <x:c r="H344" s="2"/>
    </x:row>
    <x:row r="345" ht="25" customHeight="1">
      <x:c r="A345" s="12" t="n">
        <x:f>IF($B$7&lt;&gt;"OK","",IF(YEAR(DATE($B$4,1,1)+335)=$B$4,DATE($B$4,1,1)+335,""))</x:f>
        <x:v>46723</x:v>
      </x:c>
      <x:c r="B345" s="2" t="n">
        <x:f>IF(A345="","",IF(AND(INDEX($B$6:$H$6,1,WEEKDAY(A345,2))=0,COUNTIF($E$10:$E$39,A345)=0),1,0))</x:f>
        <x:v>1</x:v>
      </x:c>
      <x:c r="C345" s="2" t="n">
        <x:f>IF(A345="","",IF($B$5="Naturales",1,B345))</x:f>
        <x:v>1</x:v>
      </x:c>
      <x:c r="D345" s="2"/>
      <x:c r="E345" s="2"/>
      <x:c r="F345" s="2"/>
      <x:c r="G345" s="2"/>
      <x:c r="H345" s="2"/>
    </x:row>
    <x:row r="346" ht="25" customHeight="1">
      <x:c r="A346" s="12" t="n">
        <x:f>IF($B$7&lt;&gt;"OK","",IF(YEAR(DATE($B$4,1,1)+336)=$B$4,DATE($B$4,1,1)+336,""))</x:f>
        <x:v>46724</x:v>
      </x:c>
      <x:c r="B346" s="2" t="n">
        <x:f>IF(A346="","",IF(AND(INDEX($B$6:$H$6,1,WEEKDAY(A346,2))=0,COUNTIF($E$10:$E$39,A346)=0),1,0))</x:f>
        <x:v>1</x:v>
      </x:c>
      <x:c r="C346" s="2" t="n">
        <x:f>IF(A346="","",IF($B$5="Naturales",1,B346))</x:f>
        <x:v>1</x:v>
      </x:c>
      <x:c r="D346" s="2"/>
      <x:c r="E346" s="2"/>
      <x:c r="F346" s="2"/>
      <x:c r="G346" s="2"/>
      <x:c r="H346" s="2"/>
    </x:row>
    <x:row r="347" ht="25" customHeight="1">
      <x:c r="A347" s="12" t="n">
        <x:f>IF($B$7&lt;&gt;"OK","",IF(YEAR(DATE($B$4,1,1)+337)=$B$4,DATE($B$4,1,1)+337,""))</x:f>
        <x:v>46725</x:v>
      </x:c>
      <x:c r="B347" s="2" t="n">
        <x:f>IF(A347="","",IF(AND(INDEX($B$6:$H$6,1,WEEKDAY(A347,2))=0,COUNTIF($E$10:$E$39,A347)=0),1,0))</x:f>
        <x:v>0</x:v>
      </x:c>
      <x:c r="C347" s="2" t="n">
        <x:f>IF(A347="","",IF($B$5="Naturales",1,B347))</x:f>
        <x:v>0</x:v>
      </x:c>
      <x:c r="D347" s="2"/>
      <x:c r="E347" s="2"/>
      <x:c r="F347" s="2"/>
      <x:c r="G347" s="2"/>
      <x:c r="H347" s="2"/>
    </x:row>
    <x:row r="348" ht="25" customHeight="1">
      <x:c r="A348" s="12" t="n">
        <x:f>IF($B$7&lt;&gt;"OK","",IF(YEAR(DATE($B$4,1,1)+338)=$B$4,DATE($B$4,1,1)+338,""))</x:f>
        <x:v>46726</x:v>
      </x:c>
      <x:c r="B348" s="2" t="n">
        <x:f>IF(A348="","",IF(AND(INDEX($B$6:$H$6,1,WEEKDAY(A348,2))=0,COUNTIF($E$10:$E$39,A348)=0),1,0))</x:f>
        <x:v>0</x:v>
      </x:c>
      <x:c r="C348" s="2" t="n">
        <x:f>IF(A348="","",IF($B$5="Naturales",1,B348))</x:f>
        <x:v>0</x:v>
      </x:c>
      <x:c r="D348" s="2"/>
      <x:c r="E348" s="2"/>
      <x:c r="F348" s="2"/>
      <x:c r="G348" s="2"/>
      <x:c r="H348" s="2"/>
    </x:row>
    <x:row r="349" ht="25" customHeight="1">
      <x:c r="A349" s="12" t="n">
        <x:f>IF($B$7&lt;&gt;"OK","",IF(YEAR(DATE($B$4,1,1)+339)=$B$4,DATE($B$4,1,1)+339,""))</x:f>
        <x:v>46727</x:v>
      </x:c>
      <x:c r="B349" s="2" t="n">
        <x:f>IF(A349="","",IF(AND(INDEX($B$6:$H$6,1,WEEKDAY(A349,2))=0,COUNTIF($E$10:$E$39,A349)=0),1,0))</x:f>
        <x:v>1</x:v>
      </x:c>
      <x:c r="C349" s="2" t="n">
        <x:f>IF(A349="","",IF($B$5="Naturales",1,B349))</x:f>
        <x:v>1</x:v>
      </x:c>
      <x:c r="D349" s="2"/>
      <x:c r="E349" s="2"/>
      <x:c r="F349" s="2"/>
      <x:c r="G349" s="2"/>
      <x:c r="H349" s="2"/>
    </x:row>
    <x:row r="350" ht="25" customHeight="1">
      <x:c r="A350" s="12" t="n">
        <x:f>IF($B$7&lt;&gt;"OK","",IF(YEAR(DATE($B$4,1,1)+340)=$B$4,DATE($B$4,1,1)+340,""))</x:f>
        <x:v>46728</x:v>
      </x:c>
      <x:c r="B350" s="2" t="n">
        <x:f>IF(A350="","",IF(AND(INDEX($B$6:$H$6,1,WEEKDAY(A350,2))=0,COUNTIF($E$10:$E$39,A350)=0),1,0))</x:f>
        <x:v>1</x:v>
      </x:c>
      <x:c r="C350" s="2" t="n">
        <x:f>IF(A350="","",IF($B$5="Naturales",1,B350))</x:f>
        <x:v>1</x:v>
      </x:c>
      <x:c r="D350" s="2"/>
      <x:c r="E350" s="2"/>
      <x:c r="F350" s="2"/>
      <x:c r="G350" s="2"/>
      <x:c r="H350" s="2"/>
    </x:row>
    <x:row r="351" ht="25" customHeight="1">
      <x:c r="A351" s="12" t="n">
        <x:f>IF($B$7&lt;&gt;"OK","",IF(YEAR(DATE($B$4,1,1)+341)=$B$4,DATE($B$4,1,1)+341,""))</x:f>
        <x:v>46729</x:v>
      </x:c>
      <x:c r="B351" s="2" t="n">
        <x:f>IF(A351="","",IF(AND(INDEX($B$6:$H$6,1,WEEKDAY(A351,2))=0,COUNTIF($E$10:$E$39,A351)=0),1,0))</x:f>
        <x:v>1</x:v>
      </x:c>
      <x:c r="C351" s="2" t="n">
        <x:f>IF(A351="","",IF($B$5="Naturales",1,B351))</x:f>
        <x:v>1</x:v>
      </x:c>
      <x:c r="D351" s="2"/>
      <x:c r="E351" s="2"/>
      <x:c r="F351" s="2"/>
      <x:c r="G351" s="2"/>
      <x:c r="H351" s="2"/>
    </x:row>
    <x:row r="352" ht="25" customHeight="1">
      <x:c r="A352" s="12" t="n">
        <x:f>IF($B$7&lt;&gt;"OK","",IF(YEAR(DATE($B$4,1,1)+342)=$B$4,DATE($B$4,1,1)+342,""))</x:f>
        <x:v>46730</x:v>
      </x:c>
      <x:c r="B352" s="2" t="n">
        <x:f>IF(A352="","",IF(AND(INDEX($B$6:$H$6,1,WEEKDAY(A352,2))=0,COUNTIF($E$10:$E$39,A352)=0),1,0))</x:f>
        <x:v>1</x:v>
      </x:c>
      <x:c r="C352" s="2" t="n">
        <x:f>IF(A352="","",IF($B$5="Naturales",1,B352))</x:f>
        <x:v>1</x:v>
      </x:c>
      <x:c r="D352" s="2"/>
      <x:c r="E352" s="2"/>
      <x:c r="F352" s="2"/>
      <x:c r="G352" s="2"/>
      <x:c r="H352" s="2"/>
    </x:row>
    <x:row r="353" ht="25" customHeight="1">
      <x:c r="A353" s="12" t="n">
        <x:f>IF($B$7&lt;&gt;"OK","",IF(YEAR(DATE($B$4,1,1)+343)=$B$4,DATE($B$4,1,1)+343,""))</x:f>
        <x:v>46731</x:v>
      </x:c>
      <x:c r="B353" s="2" t="n">
        <x:f>IF(A353="","",IF(AND(INDEX($B$6:$H$6,1,WEEKDAY(A353,2))=0,COUNTIF($E$10:$E$39,A353)=0),1,0))</x:f>
        <x:v>1</x:v>
      </x:c>
      <x:c r="C353" s="2" t="n">
        <x:f>IF(A353="","",IF($B$5="Naturales",1,B353))</x:f>
        <x:v>1</x:v>
      </x:c>
      <x:c r="D353" s="2"/>
      <x:c r="E353" s="2"/>
      <x:c r="F353" s="2"/>
      <x:c r="G353" s="2"/>
      <x:c r="H353" s="2"/>
    </x:row>
    <x:row r="354" ht="25" customHeight="1">
      <x:c r="A354" s="12" t="n">
        <x:f>IF($B$7&lt;&gt;"OK","",IF(YEAR(DATE($B$4,1,1)+344)=$B$4,DATE($B$4,1,1)+344,""))</x:f>
        <x:v>46732</x:v>
      </x:c>
      <x:c r="B354" s="2" t="n">
        <x:f>IF(A354="","",IF(AND(INDEX($B$6:$H$6,1,WEEKDAY(A354,2))=0,COUNTIF($E$10:$E$39,A354)=0),1,0))</x:f>
        <x:v>0</x:v>
      </x:c>
      <x:c r="C354" s="2" t="n">
        <x:f>IF(A354="","",IF($B$5="Naturales",1,B354))</x:f>
        <x:v>0</x:v>
      </x:c>
      <x:c r="D354" s="2"/>
      <x:c r="E354" s="2"/>
      <x:c r="F354" s="2"/>
      <x:c r="G354" s="2"/>
      <x:c r="H354" s="2"/>
    </x:row>
    <x:row r="355" ht="25" customHeight="1">
      <x:c r="A355" s="12" t="n">
        <x:f>IF($B$7&lt;&gt;"OK","",IF(YEAR(DATE($B$4,1,1)+345)=$B$4,DATE($B$4,1,1)+345,""))</x:f>
        <x:v>46733</x:v>
      </x:c>
      <x:c r="B355" s="2" t="n">
        <x:f>IF(A355="","",IF(AND(INDEX($B$6:$H$6,1,WEEKDAY(A355,2))=0,COUNTIF($E$10:$E$39,A355)=0),1,0))</x:f>
        <x:v>0</x:v>
      </x:c>
      <x:c r="C355" s="2" t="n">
        <x:f>IF(A355="","",IF($B$5="Naturales",1,B355))</x:f>
        <x:v>0</x:v>
      </x:c>
      <x:c r="D355" s="2"/>
      <x:c r="E355" s="2"/>
      <x:c r="F355" s="2"/>
      <x:c r="G355" s="2"/>
      <x:c r="H355" s="2"/>
    </x:row>
    <x:row r="356" ht="25" customHeight="1">
      <x:c r="A356" s="12" t="n">
        <x:f>IF($B$7&lt;&gt;"OK","",IF(YEAR(DATE($B$4,1,1)+346)=$B$4,DATE($B$4,1,1)+346,""))</x:f>
        <x:v>46734</x:v>
      </x:c>
      <x:c r="B356" s="2" t="n">
        <x:f>IF(A356="","",IF(AND(INDEX($B$6:$H$6,1,WEEKDAY(A356,2))=0,COUNTIF($E$10:$E$39,A356)=0),1,0))</x:f>
        <x:v>1</x:v>
      </x:c>
      <x:c r="C356" s="2" t="n">
        <x:f>IF(A356="","",IF($B$5="Naturales",1,B356))</x:f>
        <x:v>1</x:v>
      </x:c>
      <x:c r="D356" s="2"/>
      <x:c r="E356" s="2"/>
      <x:c r="F356" s="2"/>
      <x:c r="G356" s="2"/>
      <x:c r="H356" s="2"/>
    </x:row>
    <x:row r="357" ht="25" customHeight="1">
      <x:c r="A357" s="12" t="n">
        <x:f>IF($B$7&lt;&gt;"OK","",IF(YEAR(DATE($B$4,1,1)+347)=$B$4,DATE($B$4,1,1)+347,""))</x:f>
        <x:v>46735</x:v>
      </x:c>
      <x:c r="B357" s="2" t="n">
        <x:f>IF(A357="","",IF(AND(INDEX($B$6:$H$6,1,WEEKDAY(A357,2))=0,COUNTIF($E$10:$E$39,A357)=0),1,0))</x:f>
        <x:v>1</x:v>
      </x:c>
      <x:c r="C357" s="2" t="n">
        <x:f>IF(A357="","",IF($B$5="Naturales",1,B357))</x:f>
        <x:v>1</x:v>
      </x:c>
      <x:c r="D357" s="2"/>
      <x:c r="E357" s="2"/>
      <x:c r="F357" s="2"/>
      <x:c r="G357" s="2"/>
      <x:c r="H357" s="2"/>
    </x:row>
    <x:row r="358" ht="25" customHeight="1">
      <x:c r="A358" s="12" t="n">
        <x:f>IF($B$7&lt;&gt;"OK","",IF(YEAR(DATE($B$4,1,1)+348)=$B$4,DATE($B$4,1,1)+348,""))</x:f>
        <x:v>46736</x:v>
      </x:c>
      <x:c r="B358" s="2" t="n">
        <x:f>IF(A358="","",IF(AND(INDEX($B$6:$H$6,1,WEEKDAY(A358,2))=0,COUNTIF($E$10:$E$39,A358)=0),1,0))</x:f>
        <x:v>1</x:v>
      </x:c>
      <x:c r="C358" s="2" t="n">
        <x:f>IF(A358="","",IF($B$5="Naturales",1,B358))</x:f>
        <x:v>1</x:v>
      </x:c>
      <x:c r="D358" s="2"/>
      <x:c r="E358" s="2"/>
      <x:c r="F358" s="2"/>
      <x:c r="G358" s="2"/>
      <x:c r="H358" s="2"/>
    </x:row>
    <x:row r="359" ht="25" customHeight="1">
      <x:c r="A359" s="12" t="n">
        <x:f>IF($B$7&lt;&gt;"OK","",IF(YEAR(DATE($B$4,1,1)+349)=$B$4,DATE($B$4,1,1)+349,""))</x:f>
        <x:v>46737</x:v>
      </x:c>
      <x:c r="B359" s="2" t="n">
        <x:f>IF(A359="","",IF(AND(INDEX($B$6:$H$6,1,WEEKDAY(A359,2))=0,COUNTIF($E$10:$E$39,A359)=0),1,0))</x:f>
        <x:v>1</x:v>
      </x:c>
      <x:c r="C359" s="2" t="n">
        <x:f>IF(A359="","",IF($B$5="Naturales",1,B359))</x:f>
        <x:v>1</x:v>
      </x:c>
      <x:c r="D359" s="2"/>
      <x:c r="E359" s="2"/>
      <x:c r="F359" s="2"/>
      <x:c r="G359" s="2"/>
      <x:c r="H359" s="2"/>
    </x:row>
    <x:row r="360" ht="25" customHeight="1">
      <x:c r="A360" s="12" t="n">
        <x:f>IF($B$7&lt;&gt;"OK","",IF(YEAR(DATE($B$4,1,1)+350)=$B$4,DATE($B$4,1,1)+350,""))</x:f>
        <x:v>46738</x:v>
      </x:c>
      <x:c r="B360" s="2" t="n">
        <x:f>IF(A360="","",IF(AND(INDEX($B$6:$H$6,1,WEEKDAY(A360,2))=0,COUNTIF($E$10:$E$39,A360)=0),1,0))</x:f>
        <x:v>1</x:v>
      </x:c>
      <x:c r="C360" s="2" t="n">
        <x:f>IF(A360="","",IF($B$5="Naturales",1,B360))</x:f>
        <x:v>1</x:v>
      </x:c>
      <x:c r="D360" s="2"/>
      <x:c r="E360" s="2"/>
      <x:c r="F360" s="2"/>
      <x:c r="G360" s="2"/>
      <x:c r="H360" s="2"/>
    </x:row>
    <x:row r="361" ht="25" customHeight="1">
      <x:c r="A361" s="12" t="n">
        <x:f>IF($B$7&lt;&gt;"OK","",IF(YEAR(DATE($B$4,1,1)+351)=$B$4,DATE($B$4,1,1)+351,""))</x:f>
        <x:v>46739</x:v>
      </x:c>
      <x:c r="B361" s="2" t="n">
        <x:f>IF(A361="","",IF(AND(INDEX($B$6:$H$6,1,WEEKDAY(A361,2))=0,COUNTIF($E$10:$E$39,A361)=0),1,0))</x:f>
        <x:v>0</x:v>
      </x:c>
      <x:c r="C361" s="2" t="n">
        <x:f>IF(A361="","",IF($B$5="Naturales",1,B361))</x:f>
        <x:v>0</x:v>
      </x:c>
      <x:c r="D361" s="2"/>
      <x:c r="E361" s="2"/>
      <x:c r="F361" s="2"/>
      <x:c r="G361" s="2"/>
      <x:c r="H361" s="2"/>
    </x:row>
    <x:row r="362" ht="25" customHeight="1">
      <x:c r="A362" s="12" t="n">
        <x:f>IF($B$7&lt;&gt;"OK","",IF(YEAR(DATE($B$4,1,1)+352)=$B$4,DATE($B$4,1,1)+352,""))</x:f>
        <x:v>46740</x:v>
      </x:c>
      <x:c r="B362" s="2" t="n">
        <x:f>IF(A362="","",IF(AND(INDEX($B$6:$H$6,1,WEEKDAY(A362,2))=0,COUNTIF($E$10:$E$39,A362)=0),1,0))</x:f>
        <x:v>0</x:v>
      </x:c>
      <x:c r="C362" s="2" t="n">
        <x:f>IF(A362="","",IF($B$5="Naturales",1,B362))</x:f>
        <x:v>0</x:v>
      </x:c>
      <x:c r="D362" s="2"/>
      <x:c r="E362" s="2"/>
      <x:c r="F362" s="2"/>
      <x:c r="G362" s="2"/>
      <x:c r="H362" s="2"/>
    </x:row>
    <x:row r="363" ht="25" customHeight="1">
      <x:c r="A363" s="12" t="n">
        <x:f>IF($B$7&lt;&gt;"OK","",IF(YEAR(DATE($B$4,1,1)+353)=$B$4,DATE($B$4,1,1)+353,""))</x:f>
        <x:v>46741</x:v>
      </x:c>
      <x:c r="B363" s="2" t="n">
        <x:f>IF(A363="","",IF(AND(INDEX($B$6:$H$6,1,WEEKDAY(A363,2))=0,COUNTIF($E$10:$E$39,A363)=0),1,0))</x:f>
        <x:v>1</x:v>
      </x:c>
      <x:c r="C363" s="2" t="n">
        <x:f>IF(A363="","",IF($B$5="Naturales",1,B363))</x:f>
        <x:v>1</x:v>
      </x:c>
      <x:c r="D363" s="2"/>
      <x:c r="E363" s="2"/>
      <x:c r="F363" s="2"/>
      <x:c r="G363" s="2"/>
      <x:c r="H363" s="2"/>
    </x:row>
    <x:row r="364" ht="25" customHeight="1">
      <x:c r="A364" s="12" t="n">
        <x:f>IF($B$7&lt;&gt;"OK","",IF(YEAR(DATE($B$4,1,1)+354)=$B$4,DATE($B$4,1,1)+354,""))</x:f>
        <x:v>46742</x:v>
      </x:c>
      <x:c r="B364" s="2" t="n">
        <x:f>IF(A364="","",IF(AND(INDEX($B$6:$H$6,1,WEEKDAY(A364,2))=0,COUNTIF($E$10:$E$39,A364)=0),1,0))</x:f>
        <x:v>1</x:v>
      </x:c>
      <x:c r="C364" s="2" t="n">
        <x:f>IF(A364="","",IF($B$5="Naturales",1,B364))</x:f>
        <x:v>1</x:v>
      </x:c>
      <x:c r="D364" s="2"/>
      <x:c r="E364" s="2"/>
      <x:c r="F364" s="2"/>
      <x:c r="G364" s="2"/>
      <x:c r="H364" s="2"/>
    </x:row>
    <x:row r="365" ht="25" customHeight="1">
      <x:c r="A365" s="12" t="n">
        <x:f>IF($B$7&lt;&gt;"OK","",IF(YEAR(DATE($B$4,1,1)+355)=$B$4,DATE($B$4,1,1)+355,""))</x:f>
        <x:v>46743</x:v>
      </x:c>
      <x:c r="B365" s="2" t="n">
        <x:f>IF(A365="","",IF(AND(INDEX($B$6:$H$6,1,WEEKDAY(A365,2))=0,COUNTIF($E$10:$E$39,A365)=0),1,0))</x:f>
        <x:v>1</x:v>
      </x:c>
      <x:c r="C365" s="2" t="n">
        <x:f>IF(A365="","",IF($B$5="Naturales",1,B365))</x:f>
        <x:v>1</x:v>
      </x:c>
      <x:c r="D365" s="2"/>
      <x:c r="E365" s="2"/>
      <x:c r="F365" s="2"/>
      <x:c r="G365" s="2"/>
      <x:c r="H365" s="2"/>
    </x:row>
    <x:row r="366" ht="25" customHeight="1">
      <x:c r="A366" s="12" t="n">
        <x:f>IF($B$7&lt;&gt;"OK","",IF(YEAR(DATE($B$4,1,1)+356)=$B$4,DATE($B$4,1,1)+356,""))</x:f>
        <x:v>46744</x:v>
      </x:c>
      <x:c r="B366" s="2" t="n">
        <x:f>IF(A366="","",IF(AND(INDEX($B$6:$H$6,1,WEEKDAY(A366,2))=0,COUNTIF($E$10:$E$39,A366)=0),1,0))</x:f>
        <x:v>1</x:v>
      </x:c>
      <x:c r="C366" s="2" t="n">
        <x:f>IF(A366="","",IF($B$5="Naturales",1,B366))</x:f>
        <x:v>1</x:v>
      </x:c>
      <x:c r="D366" s="2"/>
      <x:c r="E366" s="2"/>
      <x:c r="F366" s="2"/>
      <x:c r="G366" s="2"/>
      <x:c r="H366" s="2"/>
    </x:row>
    <x:row r="367" ht="25" customHeight="1">
      <x:c r="A367" s="12" t="n">
        <x:f>IF($B$7&lt;&gt;"OK","",IF(YEAR(DATE($B$4,1,1)+357)=$B$4,DATE($B$4,1,1)+357,""))</x:f>
        <x:v>46745</x:v>
      </x:c>
      <x:c r="B367" s="2" t="n">
        <x:f>IF(A367="","",IF(AND(INDEX($B$6:$H$6,1,WEEKDAY(A367,2))=0,COUNTIF($E$10:$E$39,A367)=0),1,0))</x:f>
        <x:v>1</x:v>
      </x:c>
      <x:c r="C367" s="2" t="n">
        <x:f>IF(A367="","",IF($B$5="Naturales",1,B367))</x:f>
        <x:v>1</x:v>
      </x:c>
      <x:c r="D367" s="2"/>
      <x:c r="E367" s="2"/>
      <x:c r="F367" s="2"/>
      <x:c r="G367" s="2"/>
      <x:c r="H367" s="2"/>
    </x:row>
    <x:row r="368" ht="25" customHeight="1">
      <x:c r="A368" s="12" t="n">
        <x:f>IF($B$7&lt;&gt;"OK","",IF(YEAR(DATE($B$4,1,1)+358)=$B$4,DATE($B$4,1,1)+358,""))</x:f>
        <x:v>46746</x:v>
      </x:c>
      <x:c r="B368" s="2" t="n">
        <x:f>IF(A368="","",IF(AND(INDEX($B$6:$H$6,1,WEEKDAY(A368,2))=0,COUNTIF($E$10:$E$39,A368)=0),1,0))</x:f>
        <x:v>0</x:v>
      </x:c>
      <x:c r="C368" s="2" t="n">
        <x:f>IF(A368="","",IF($B$5="Naturales",1,B368))</x:f>
        <x:v>0</x:v>
      </x:c>
      <x:c r="D368" s="2"/>
      <x:c r="E368" s="2"/>
      <x:c r="F368" s="2"/>
      <x:c r="G368" s="2"/>
      <x:c r="H368" s="2"/>
    </x:row>
    <x:row r="369" ht="25" customHeight="1">
      <x:c r="A369" s="12" t="n">
        <x:f>IF($B$7&lt;&gt;"OK","",IF(YEAR(DATE($B$4,1,1)+359)=$B$4,DATE($B$4,1,1)+359,""))</x:f>
        <x:v>46747</x:v>
      </x:c>
      <x:c r="B369" s="2" t="n">
        <x:f>IF(A369="","",IF(AND(INDEX($B$6:$H$6,1,WEEKDAY(A369,2))=0,COUNTIF($E$10:$E$39,A369)=0),1,0))</x:f>
        <x:v>0</x:v>
      </x:c>
      <x:c r="C369" s="2" t="n">
        <x:f>IF(A369="","",IF($B$5="Naturales",1,B369))</x:f>
        <x:v>0</x:v>
      </x:c>
      <x:c r="D369" s="2"/>
      <x:c r="E369" s="2"/>
      <x:c r="F369" s="2"/>
      <x:c r="G369" s="2"/>
      <x:c r="H369" s="2"/>
    </x:row>
    <x:row r="370" ht="25" customHeight="1">
      <x:c r="A370" s="12" t="n">
        <x:f>IF($B$7&lt;&gt;"OK","",IF(YEAR(DATE($B$4,1,1)+360)=$B$4,DATE($B$4,1,1)+360,""))</x:f>
        <x:v>46748</x:v>
      </x:c>
      <x:c r="B370" s="2" t="n">
        <x:f>IF(A370="","",IF(AND(INDEX($B$6:$H$6,1,WEEKDAY(A370,2))=0,COUNTIF($E$10:$E$39,A370)=0),1,0))</x:f>
        <x:v>1</x:v>
      </x:c>
      <x:c r="C370" s="2" t="n">
        <x:f>IF(A370="","",IF($B$5="Naturales",1,B370))</x:f>
        <x:v>1</x:v>
      </x:c>
      <x:c r="D370" s="2"/>
      <x:c r="E370" s="2"/>
      <x:c r="F370" s="2"/>
      <x:c r="G370" s="2"/>
      <x:c r="H370" s="2"/>
    </x:row>
    <x:row r="371" ht="25" customHeight="1">
      <x:c r="A371" s="12" t="n">
        <x:f>IF($B$7&lt;&gt;"OK","",IF(YEAR(DATE($B$4,1,1)+361)=$B$4,DATE($B$4,1,1)+361,""))</x:f>
        <x:v>46749</x:v>
      </x:c>
      <x:c r="B371" s="2" t="n">
        <x:f>IF(A371="","",IF(AND(INDEX($B$6:$H$6,1,WEEKDAY(A371,2))=0,COUNTIF($E$10:$E$39,A371)=0),1,0))</x:f>
        <x:v>1</x:v>
      </x:c>
      <x:c r="C371" s="2" t="n">
        <x:f>IF(A371="","",IF($B$5="Naturales",1,B371))</x:f>
        <x:v>1</x:v>
      </x:c>
      <x:c r="D371" s="2"/>
      <x:c r="E371" s="2"/>
      <x:c r="F371" s="2"/>
      <x:c r="G371" s="2"/>
      <x:c r="H371" s="2"/>
    </x:row>
    <x:row r="372" ht="25" customHeight="1">
      <x:c r="A372" s="12" t="n">
        <x:f>IF($B$7&lt;&gt;"OK","",IF(YEAR(DATE($B$4,1,1)+362)=$B$4,DATE($B$4,1,1)+362,""))</x:f>
        <x:v>46750</x:v>
      </x:c>
      <x:c r="B372" s="2" t="n">
        <x:f>IF(A372="","",IF(AND(INDEX($B$6:$H$6,1,WEEKDAY(A372,2))=0,COUNTIF($E$10:$E$39,A372)=0),1,0))</x:f>
        <x:v>1</x:v>
      </x:c>
      <x:c r="C372" s="2" t="n">
        <x:f>IF(A372="","",IF($B$5="Naturales",1,B372))</x:f>
        <x:v>1</x:v>
      </x:c>
      <x:c r="D372" s="2"/>
      <x:c r="E372" s="2"/>
      <x:c r="F372" s="2"/>
      <x:c r="G372" s="2"/>
      <x:c r="H372" s="2"/>
    </x:row>
    <x:row r="373" ht="25" customHeight="1">
      <x:c r="A373" s="12" t="n">
        <x:f>IF($B$7&lt;&gt;"OK","",IF(YEAR(DATE($B$4,1,1)+363)=$B$4,DATE($B$4,1,1)+363,""))</x:f>
        <x:v>46751</x:v>
      </x:c>
      <x:c r="B373" s="2" t="n">
        <x:f>IF(A373="","",IF(AND(INDEX($B$6:$H$6,1,WEEKDAY(A373,2))=0,COUNTIF($E$10:$E$39,A373)=0),1,0))</x:f>
        <x:v>1</x:v>
      </x:c>
      <x:c r="C373" s="2" t="n">
        <x:f>IF(A373="","",IF($B$5="Naturales",1,B373))</x:f>
        <x:v>1</x:v>
      </x:c>
      <x:c r="D373" s="2"/>
      <x:c r="E373" s="2"/>
      <x:c r="F373" s="2"/>
      <x:c r="G373" s="2"/>
      <x:c r="H373" s="2"/>
    </x:row>
    <x:row r="374" ht="25" customHeight="1">
      <x:c r="A374" s="12" t="n">
        <x:f>IF($B$7&lt;&gt;"OK","",IF(YEAR(DATE($B$4,1,1)+364)=$B$4,DATE($B$4,1,1)+364,""))</x:f>
        <x:v>46752</x:v>
      </x:c>
      <x:c r="B374" s="2" t="n">
        <x:f>IF(A374="","",IF(AND(INDEX($B$6:$H$6,1,WEEKDAY(A374,2))=0,COUNTIF($E$10:$E$39,A374)=0),1,0))</x:f>
        <x:v>1</x:v>
      </x:c>
      <x:c r="C374" s="2" t="n">
        <x:f>IF(A374="","",IF($B$5="Naturales",1,B374))</x:f>
        <x:v>1</x:v>
      </x:c>
      <x:c r="D374" s="2"/>
      <x:c r="E374" s="2"/>
      <x:c r="F374" s="2"/>
      <x:c r="G374" s="2"/>
      <x:c r="H374" s="2"/>
    </x:row>
    <x:row r="375">
      <x:c r="A375" s="13" t="str">
        <x:f>IF($B$7&lt;&gt;"OK","",IF(YEAR(DATE($B$4,1,1)+365)=$B$4,DATE($B$4,1,1)+365,""))</x:f>
      </x:c>
      <x:c r="B375" t="str">
        <x:f>IF(A375="","",IF(AND(INDEX($B$6:$H$6,1,WEEKDAY(A375,2))=0,COUNTIF($E$10:$E$39,A375)=0),1,0))</x:f>
      </x:c>
      <x:c r="C375" t="str">
        <x:f>IF(A375="","",IF($B$5="Naturales",1,B375))</x:f>
      </x:c>
    </x:row>
  </x:sheetData>
  <x:dataValidations count="2">
    <x:dataValidation type="list" sqref="B6:H6">
      <x:formula1>"0,1"</x:formula1>
    </x:dataValidation>
    <x:dataValidation type="list" sqref="B5">
      <x:formula1>"Naturales,Laborables"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0" hidden="0" customWidth="1"/>
    <x:col min="2" max="2" width="4" hidden="0" customWidth="1"/>
  </x:cols>
  <x:sheetData>
    <x:row r="1" ht="25" customHeight="1">
      <x:c r="A1" s="2"/>
      <x:c r="B1" s="2"/>
    </x:row>
    <x:row r="2" ht="25" customHeight="1">
      <x:c r="A2" s="3" t="str">
        <x:v>Cómo utilizar la plantilla</x:v>
      </x:c>
      <x:c r="B2" s="2"/>
    </x:row>
    <x:row r="3" ht="25" customHeight="1">
      <x:c r="A3" s="2"/>
      <x:c r="B3" s="2"/>
    </x:row>
    <x:row r="4" ht="34" customHeight="1">
      <x:c r="A4" s="14" t="str">
        <x:v>1. Resumen: edita A9:C38. ID único, nombre y cupo anual elegido por ti.</x:v>
      </x:c>
      <x:c r="B4" s="2"/>
    </x:row>
    <x:row r="5" ht="34" customHeight="1">
      <x:c r="A5" s="14" t="str">
        <x:v>2. Configuracion: B4 año; B5 Naturales o Laborables; B6:H6 descansos de lunes a domingo.</x:v>
      </x:c>
      <x:c r="B5" s="2"/>
    </x:row>
    <x:row r="6" ht="34" customHeight="1">
      <x:c r="A6" s="14" t="str">
        <x:v>En B6:H6 usa 0 trabaja y 1 descansa. Las dos últimas celdas son sábado y domingo.</x:v>
      </x:c>
      <x:c r="B6" s="2"/>
    </x:row>
    <x:row r="7" ht="34" customHeight="1">
      <x:c r="A7" s="14" t="str">
        <x:v>Festivos: E10:E39 contiene fechas reales sin hora. El ejemplo es ficticio: reemplázalo.</x:v>
      </x:c>
      <x:c r="B7" s="2"/>
    </x:row>
    <x:row r="8" ht="34" customHeight="1">
      <x:c r="A8" s="14" t="str">
        <x:v>3. Solicitudes: edita A5:E204. Desde y Hasta se incluyen; usa fechas del año elegido.</x:v>
      </x:c>
      <x:c r="B8" s="2"/>
    </x:row>
    <x:row r="9" ht="34" customHeight="1">
      <x:c r="A9" s="14" t="str">
        <x:v>Solo Aprobada consume saldo. Pendiente se muestra aparte. Cancelada no consume.</x:v>
      </x:c>
      <x:c r="B9" s="2"/>
    </x:row>
    <x:row r="10" ht="34" customHeight="1">
      <x:c r="A10" s="14" t="str">
        <x:v>Una aprobación futura reserva días: Aprobados no significa que ya se hayan disfrutado.</x:v>
      </x:c>
      <x:c r="B10" s="2"/>
    </x:row>
    <x:row r="11" ht="34" customHeight="1">
      <x:c r="A11" s="14" t="str">
        <x:v>G:I son fórmulas. Revisa los avisos. Los solapes del mismo empleado bloquean su saldo.</x:v>
      </x:c>
      <x:c r="B11" s="2"/>
    </x:row>
    <x:row r="12" ht="34" customHeight="1">
      <x:c r="A12" s="14" t="str">
        <x:v>La detección de solapes compara fechas, incluso festivos. No controla cobertura del equipo.</x:v>
      </x:c>
      <x:c r="B12" s="2"/>
    </x:row>
    <x:row r="13" ht="34" customHeight="1">
      <x:c r="A13" s="14" t="str">
        <x:v>Una solicitud que cruza el 31 de diciembre debe dividirse entre archivos de cada año.</x:v>
      </x:c>
      <x:c r="B13" s="2"/>
    </x:row>
    <x:row r="14" ht="34" customHeight="1">
      <x:c r="A14" s="14" t="str">
        <x:v>4. Calendario: elige mes e ID. Muestra periodos aprobados o pendientes, incluso descansos.</x:v>
      </x:c>
      <x:c r="B14" s="2"/>
    </x:row>
    <x:row r="15" ht="34" customHeight="1">
      <x:c r="A15" s="14" t="str">
        <x:v>Computable indica si ese día descuenta según ajustes. C y D cuentan solicitudes, no días.</x:v>
      </x:c>
      <x:c r="B15" s="2"/>
    </x:row>
    <x:row r="16" ht="34" customHeight="1">
      <x:c r="A16" s="14" t="str">
        <x:v>Ejemplo: Ana tiene 22 días; 1-5 febrero 2027 son 4 laborables al excluir el festivo ficticio.</x:v>
      </x:c>
      <x:c r="B16" s="2"/>
    </x:row>
    <x:row r="17" ht="34" customHeight="1">
      <x:c r="A17" s="14" t="str">
        <x:v>Resultado: 4 aprobados, 2 pendientes, saldo 18. Naturales: 5 aprobados y saldo 17.</x:v>
      </x:c>
      <x:c r="B17" s="2"/>
    </x:row>
    <x:row r="18" ht="34" customHeight="1">
      <x:c r="A18" s="14" t="str">
        <x:v>Para empezar: borra Resumen A9:C10, Solicitudes A5:E7 y el festivo E10:F10.</x:v>
      </x:c>
      <x:c r="B18" s="2"/>
    </x:row>
    <x:row r="19" ht="34" customHeight="1">
      <x:c r="A19" s="14" t="str">
        <x:v>30 empleados, 200 solicitudes y 30 festivos preparados. No escribas fuera de esos rangos.</x:v>
      </x:c>
      <x:c r="B19" s="2"/>
    </x:row>
    <x:row r="20" ht="34" customHeight="1">
      <x:c r="A20" s="14" t="str">
        <x:v>Cada empleado usa el mismo calendario de descansos y festivos. No calcula turnos individuales.</x:v>
      </x:c>
      <x:c r="B20" s="2"/>
    </x:row>
    <x:row r="21" ht="34" customHeight="1">
      <x:c r="A21" s="14" t="str">
        <x:v>Año 2000-2099. No calcula derechos, antigüedad, prorrateos ni arrastres automáticamente.</x:v>
      </x:c>
      <x:c r="B21" s="2"/>
    </x:row>
    <x:row r="22" ht="34" customHeight="1">
      <x:c r="A22" s="14" t="str">
        <x:v>Mantén un archivo por año. Copiar datos de otro año exige actualizar fechas y cupos.</x:v>
      </x:c>
      <x:c r="B22" s="2"/>
    </x:row>
    <x:row r="23" ht="34" customHeight="1">
      <x:c r="A23" s="14" t="str">
        <x:v>Amarillo: entradas. Gris: fórmulas. Pegar datos puede saltarse validaciones.</x:v>
      </x:c>
      <x:c r="B23" s="2"/>
    </x:row>
    <x:row r="24" ht="34" customHeight="1">
      <x:c r="A24" s="14" t="str">
        <x:v>Cálculos comprobados con el motor de creación; pendiente prueba en Excel de escritorio.</x:v>
      </x:c>
      <x:c r="B24" s="2"/>
    </x:row>
  </x:sheetData>
  <x:pageMargins left="0.7" right="0.7" top="0.75" bottom="0.75" header="0.3" footer="0.3"/>
</x:worksheet>
</file>